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40" windowWidth="11400" windowHeight="5370" activeTab="0"/>
  </bookViews>
  <sheets>
    <sheet name="CT" sheetId="1" r:id="rId1"/>
    <sheet name="CT (2)" sheetId="2" r:id="rId2"/>
  </sheets>
  <definedNames>
    <definedName name="_xlnm.Print_Area" localSheetId="0">'CT'!$A$1:$J$268</definedName>
    <definedName name="_xlnm.Print_Area" localSheetId="1">'CT (2)'!$A$1:$J$19</definedName>
  </definedNames>
  <calcPr fullCalcOnLoad="1"/>
</workbook>
</file>

<file path=xl/sharedStrings.xml><?xml version="1.0" encoding="utf-8"?>
<sst xmlns="http://schemas.openxmlformats.org/spreadsheetml/2006/main" count="314" uniqueCount="239">
  <si>
    <t xml:space="preserve">Độc lập _ Tự do _ Hạnh phúc </t>
  </si>
  <si>
    <t>1/ CHI THANH TOÁN CÁ NHÂN :</t>
  </si>
  <si>
    <t>+ Theo mức lương tối thiểu</t>
  </si>
  <si>
    <t>2/ CHI NGHIỆP VỤ CHUYÊN MÔN :</t>
  </si>
  <si>
    <t>CỘNG :</t>
  </si>
  <si>
    <t xml:space="preserve">Tiền lương : theo quy đinh </t>
  </si>
  <si>
    <t xml:space="preserve">ĐIỀU II : CÁC KHOẢN CHI PHÍ HOẠT ĐỘNG CHO TỪNG CÁ NHÂN </t>
  </si>
  <si>
    <t xml:space="preserve">ĐIỀU III : PHƯƠNG ÁN TIẾT KIỆM </t>
  </si>
  <si>
    <t>Nội dung KP
tự chủ</t>
  </si>
  <si>
    <t>KP được
duyệt</t>
  </si>
  <si>
    <t>10% KP 
dự phòng</t>
  </si>
  <si>
    <t xml:space="preserve">Kế hoạch sử dụng </t>
  </si>
  <si>
    <t xml:space="preserve">Tiết kiệm </t>
  </si>
  <si>
    <t>CỘNG</t>
  </si>
  <si>
    <t>CỘNG CHI THANH TOÁN CÁ NHÂN :</t>
  </si>
  <si>
    <t xml:space="preserve">+ Tiền lương : </t>
  </si>
  <si>
    <t>+ Phụ cấp :</t>
  </si>
  <si>
    <t>+ Các khoản đóng góp :</t>
  </si>
  <si>
    <t>Mục 6000: Tiền lương :</t>
  </si>
  <si>
    <t xml:space="preserve">Mục 6100 : Phụ cấp </t>
  </si>
  <si>
    <t xml:space="preserve">Mục 6250 : Phúc lợi tập thể </t>
  </si>
  <si>
    <t xml:space="preserve">+ Mục 6500 : thanh toán dịch vụ công cộng </t>
  </si>
  <si>
    <t xml:space="preserve">+ Mục 6650 : Hội nghị </t>
  </si>
  <si>
    <t xml:space="preserve">+ Mục 6700 : Công tác phí </t>
  </si>
  <si>
    <t xml:space="preserve">+ Mục 6750 : Chi phí thuê mướn </t>
  </si>
  <si>
    <t>+ Mục 6600 : Thông tin tuyên truyền liên lạc</t>
  </si>
  <si>
    <t>6301</t>
  </si>
  <si>
    <t>6302</t>
  </si>
  <si>
    <t>6304</t>
  </si>
  <si>
    <t>6303</t>
  </si>
  <si>
    <t>6501</t>
  </si>
  <si>
    <t>6601</t>
  </si>
  <si>
    <t>6612</t>
  </si>
  <si>
    <t>6799</t>
  </si>
  <si>
    <t>6912</t>
  </si>
  <si>
    <t>7799</t>
  </si>
  <si>
    <t xml:space="preserve">CỘNG CHI THANH TOÁN CHUYÊN MÔN NGHIỆP VỤ </t>
  </si>
  <si>
    <t xml:space="preserve">+ Thanh toán dịch vụ công cộng: </t>
  </si>
  <si>
    <t>+ Thông tin tuyên truyền liên lạc  :</t>
  </si>
  <si>
    <t>+ Hội nghị  :</t>
  </si>
  <si>
    <t xml:space="preserve">+ Công tác phí : </t>
  </si>
  <si>
    <t>+Chi phí thuê mướn :</t>
  </si>
  <si>
    <t xml:space="preserve">+ Mục 6550 : Vật tư văn phòng </t>
  </si>
  <si>
    <t xml:space="preserve">+ Mục 7000: Chi phí nghiệp vụ chuyên môn của từng ngành </t>
  </si>
  <si>
    <t xml:space="preserve"> </t>
  </si>
  <si>
    <t>+ Chi phí nghiệp vụ chuyên môn :</t>
  </si>
  <si>
    <t>_ Thu học phí</t>
  </si>
  <si>
    <t>6551</t>
  </si>
  <si>
    <t>6699</t>
  </si>
  <si>
    <t>6921</t>
  </si>
  <si>
    <t xml:space="preserve">+ Mục 6900: Sửa chữa thường xuyên </t>
  </si>
  <si>
    <t>7003</t>
  </si>
  <si>
    <t>NSNN</t>
  </si>
  <si>
    <t>CỘNG HÒA XÃ HỘI CHỦ NGHĨA VIỆT NAM</t>
  </si>
  <si>
    <t xml:space="preserve">+ Vật tư văn phòng: </t>
  </si>
  <si>
    <t xml:space="preserve">ĐIỀU I : NỘI DUNG KHOÁN CHI </t>
  </si>
  <si>
    <t>Sửa chữa điện, nước :</t>
  </si>
  <si>
    <t xml:space="preserve">Thuê photo tài liệu : </t>
  </si>
  <si>
    <t>Chi mua, in ấn tài liệu chuyên môn</t>
  </si>
  <si>
    <t>PHÒNG GD VÀ ĐT THÀNH PHỐ TDM</t>
  </si>
  <si>
    <t>6115</t>
  </si>
  <si>
    <t>6552</t>
  </si>
  <si>
    <t>6553</t>
  </si>
  <si>
    <t>6599</t>
  </si>
  <si>
    <t>6617</t>
  </si>
  <si>
    <t>6913</t>
  </si>
  <si>
    <t>6949</t>
  </si>
  <si>
    <t>7001</t>
  </si>
  <si>
    <t>BẢNG PHÂN BỔ DỰ TOÁN</t>
  </si>
  <si>
    <t>Chi mua vật tư hàng hoá dùng cho chuyên môn</t>
  </si>
  <si>
    <t>Các tài sản và công trình hạ tầng cơ sở khác</t>
  </si>
  <si>
    <t>Học phí</t>
  </si>
  <si>
    <t>Phân bổ sau tiết kiệm</t>
  </si>
  <si>
    <t>7049</t>
  </si>
  <si>
    <t>6117</t>
  </si>
  <si>
    <t>BHYT 3%:(Lương Biên chế+Hợp đồng+PCCV+Thâm niên+Vượt khung)* 3%</t>
  </si>
  <si>
    <t>BHTN 1%:(Lương Biên chế+Hợp đồng+PCCV+Thâm niên+Vượt khung)* 1%</t>
  </si>
  <si>
    <t>KPCĐ 2%:(Lương Biên chế+Hợp đồng+PCCV+Thâm niên+Vượt khung)* 2%</t>
  </si>
  <si>
    <t>Họp mặt 20/11, Tổng kết năm học</t>
  </si>
  <si>
    <t>6749</t>
  </si>
  <si>
    <t>7006</t>
  </si>
  <si>
    <t xml:space="preserve">SCTX máy in, máy tính: </t>
  </si>
  <si>
    <t>_Thu căn tin</t>
  </si>
  <si>
    <t>6504</t>
  </si>
  <si>
    <t>Nạp mực máy photo, máy in</t>
  </si>
  <si>
    <t>Vật tư văn phòng khác (Làm ảnh Bác Hồ, Làm bảng khẩu hiệu, dây micro, khung hình, pin micro)</t>
  </si>
  <si>
    <t>Tổng chi nguồn kinh phí tự chủ:</t>
  </si>
  <si>
    <t>Tổng chi nguồn Học phí:</t>
  </si>
  <si>
    <t>1/ CHI BÙ LƯƠNG:</t>
  </si>
  <si>
    <t xml:space="preserve">+ Phúc lợi tập thể: </t>
  </si>
  <si>
    <t>SC máy lạnh</t>
  </si>
  <si>
    <t>SCTX máy Photo, máy chiếu</t>
  </si>
  <si>
    <t>+ Phúc lợi tập thể:</t>
  </si>
  <si>
    <t>6906</t>
  </si>
  <si>
    <t>+ Mục 7750: Chi khác</t>
  </si>
  <si>
    <t>+ Chi khác :</t>
  </si>
  <si>
    <t>Sách, tài liệu phục vụ chuyên môn</t>
  </si>
  <si>
    <t>2/ CHI HOẠT ĐỘNG :</t>
  </si>
  <si>
    <t>Tổng chi nguồn thu khác ( Căn Tin):</t>
  </si>
  <si>
    <t>1/ CHI THANH TOÁN CHO CÁ NHÂN :</t>
  </si>
  <si>
    <t>Tiết kiệm:</t>
  </si>
  <si>
    <t>+ Tiền tàu xe nghỉ phép năm</t>
  </si>
  <si>
    <t>Thực tế chi:</t>
  </si>
  <si>
    <t xml:space="preserve">+ Mục 7000: Chi phí nghiệp vụ CM của từng ngành </t>
  </si>
  <si>
    <t>Thu khác
(Căn tin)</t>
  </si>
  <si>
    <t>Dự phòng</t>
  </si>
  <si>
    <t>+ Mục 7750: Chi phí khác</t>
  </si>
  <si>
    <t>7756</t>
  </si>
  <si>
    <t>Kiểm nghiệm nguồn nước</t>
  </si>
  <si>
    <t>BH cháy nổ</t>
  </si>
  <si>
    <t>+ Chi khác:</t>
  </si>
  <si>
    <t>Mục 6300 : Các khoản đóng góp  24%</t>
  </si>
  <si>
    <t>Mua hóa chất thí nghiệm thực hành môn hóa (5.000.000*9th)</t>
  </si>
  <si>
    <t xml:space="preserve">Mua nam châm phục vụ giảng dạy: </t>
  </si>
  <si>
    <t>Mua dụng cụ Thể dục thể thao</t>
  </si>
  <si>
    <t>Mua mô hình, mẫu đồ gốm, mẫu bình hoa,… dạy môn mỹ thuật</t>
  </si>
  <si>
    <t>Mua Vật liệu TNTH ( Sinh , công nghệ) (10 000 000đ x 2HK)</t>
  </si>
  <si>
    <t>Mua vật liệu làm đồ dùng thi khoa học kỹ thuật môn địa lý  các cấp</t>
  </si>
  <si>
    <t>Mua kính hiển vi học sinh một mắt (7.000.000đ * 2 cái)</t>
  </si>
  <si>
    <t>7004</t>
  </si>
  <si>
    <t>Trang phục GV thể dục</t>
  </si>
  <si>
    <t>2.1/ Hỗ trợ hoạt động chuyên môn: 20%</t>
  </si>
  <si>
    <t>- Chi GV đạt thành tích khi tham gia các phong trào, hội thi cấp TP, cấp tỉnh</t>
  </si>
  <si>
    <t>- Chi cho GV BD học sinh giỏi đạt thành tích cấp TP, cấp tỉnh</t>
  </si>
  <si>
    <t>2.2/ Phúc lợi tập thể: 40%</t>
  </si>
  <si>
    <t>- Trợ cấp HS có hoàn cảnh khó khăn khi ốm đau (nằm viện): 500.000đ --&gt;1.000.000đ/trường hợp</t>
  </si>
  <si>
    <t>Sách, báo , tạp chí thư viện (2.000.000đ * 4 quý)</t>
  </si>
  <si>
    <t>Chi phí khác ( Khen thưởng HS, Xét tốt nghiệp, Hội thi,…….)</t>
  </si>
  <si>
    <t>BHXH 17,5%:(Lương Biên chế+Hợp đồng+PCCV+Thâm niên+Vượt khung)* 17,5%</t>
  </si>
  <si>
    <t>6751</t>
  </si>
  <si>
    <t xml:space="preserve">Chi hỗ trợ công tác thu và quản lý phí 5% </t>
  </si>
  <si>
    <t>6917</t>
  </si>
  <si>
    <t>3/ MUA SẮM:</t>
  </si>
  <si>
    <t>+ Lắp đặt hệ thống camera</t>
  </si>
  <si>
    <t>Trang phục GV thể dục: 3 GV  * 720.000 đ</t>
  </si>
  <si>
    <t>3/ CÁC KHOẢN CHI KHÁC :</t>
  </si>
  <si>
    <t>Cước phí Internet, thư điện tử (700.000đ/tháng * 12 tháng)</t>
  </si>
  <si>
    <t>Chi khác</t>
  </si>
  <si>
    <t>6704</t>
  </si>
  <si>
    <t>Khoán công tác phí: 500.000đ/tháng/người *3 người * 12 tháng</t>
  </si>
  <si>
    <t>+ Công tác phí:</t>
  </si>
  <si>
    <r>
      <t>PHẦN B</t>
    </r>
    <r>
      <rPr>
        <b/>
        <sz val="13"/>
        <rFont val="Times New Roman"/>
        <family val="1"/>
      </rPr>
      <t xml:space="preserve"> :    HỌC PHÍ</t>
    </r>
    <r>
      <rPr>
        <b/>
        <sz val="13"/>
        <color indexed="10"/>
        <rFont val="Times New Roman"/>
        <family val="1"/>
      </rPr>
      <t xml:space="preserve"> </t>
    </r>
  </si>
  <si>
    <r>
      <t>PHẦN C</t>
    </r>
    <r>
      <rPr>
        <b/>
        <sz val="13"/>
        <rFont val="Times New Roman"/>
        <family val="1"/>
      </rPr>
      <t xml:space="preserve"> :    THU KHÁC ( CĂN TIN)</t>
    </r>
  </si>
  <si>
    <t>VÀ PHƯƠNG ÁN TIẾT KIỆM KINH PHÍ NĂM 2020</t>
  </si>
  <si>
    <t>Định mức giao kinh phí năm 2020 :</t>
  </si>
  <si>
    <t>_ Kinh phí tự chủ năm 2020</t>
  </si>
  <si>
    <t xml:space="preserve">                                 Thuê xe 16 chỗ chi tối đa:    600.000 đ/ngày (Nếu có từ 10 đến dưới 20 hs)</t>
  </si>
  <si>
    <t xml:space="preserve">                                 Thuê xe 07 chỗ chi tối đa:    400.000 đ/ngày (Nếu có từ 06 đến dưới 10 hs)</t>
  </si>
  <si>
    <t xml:space="preserve">                                 Thuê xe 04 chỗ chi tối đa:    300.000 đ/ngày (Nếu có từ 03 đến dưới 06 hs)</t>
  </si>
  <si>
    <t>+ 40% chi bù lương năm 2020</t>
  </si>
  <si>
    <t>Vệ sinh môi trường: (500.000 * 12 tháng)</t>
  </si>
  <si>
    <r>
      <t>PHẦN A</t>
    </r>
    <r>
      <rPr>
        <b/>
        <sz val="13"/>
        <rFont val="Times New Roman"/>
        <family val="1"/>
      </rPr>
      <t xml:space="preserve"> :    KINH PHÍ TỰ CHỦ NĂM 2020</t>
    </r>
  </si>
  <si>
    <t xml:space="preserve">Nạp mực máy photo, máy in (1.000.000đ *10 tháng) </t>
  </si>
  <si>
    <t>- Chi quà CBGV, CNV thuyên chuyển công tác, nghỉ hưu, nghĩ việc: 500.000đ/người * 5 người</t>
  </si>
  <si>
    <t>6757</t>
  </si>
  <si>
    <t>- Hỗ trợ trang phục thi đấu cho hs các giải TDTT</t>
  </si>
  <si>
    <t>- Chi Bồi dưỡng HS tham gia các hội thi cấp TP, cấp tỉnh, cấp Quốc gia: 
     + HS tham gia cổ vũ, hoạt động tuyên truyền: 30.000đ/ngày
     + HS tham gia thi kiến thức, văn nghệ, Vẽ,.....: 50.000 đ/ngày</t>
  </si>
  <si>
    <t>- Mua bao thư, thư mời</t>
  </si>
  <si>
    <t>- Mua biên lai phí , lệ phí</t>
  </si>
  <si>
    <t xml:space="preserve">- Chi phí thuê xe chở học sinh đi thi Olympic, sao khuê, Lương thế vinh, Khoa học kỹ thuật, 
Hội khỏe phù đổng cấp thành phố, cấp tỉnh…….. : </t>
  </si>
  <si>
    <t xml:space="preserve"> Định mức như sau: Thuê xe 29 chỗ chi tối đa: 1.200.000 đ/ngày (Nếu có từ 20 hs trở lên)</t>
  </si>
  <si>
    <t>+ Mục 6550 : Vật tư văn phòng</t>
  </si>
  <si>
    <t>Vật tư văn phòng khác (Bảng biểu chuyên môn, bảng kế hoạch, phân công chuyên môn, nội quy….)</t>
  </si>
  <si>
    <t>- Hỗ trợ tổ chức phong trào hoạt động Đoàn - Đội, TDTT</t>
  </si>
  <si>
    <t xml:space="preserve">VRTMH (200.000đ x 27 lớp x 2 HK)        </t>
  </si>
  <si>
    <t>PHÂN BỔ DỰ TOÁN KINH PHÍ NĂM 2020</t>
  </si>
  <si>
    <t>- Mua vật liệu làm đồ dùng thi khoa học kỹ thuật cấp TP, Tỉnh, Qgia (10.000.000đ * 1 mô hình)</t>
  </si>
  <si>
    <t>Phí duy trì Website, phần mềm Misa, phần mền chữ ký số VNPT (15.000.000đ * 1 năm)</t>
  </si>
  <si>
    <t>TỔNG SỐ TIỀN TIẾT KIỆM ĐƯỢC:</t>
  </si>
  <si>
    <t>TRƯỜNG THCS PHÚ HÒA</t>
  </si>
  <si>
    <t>Phú Hòa, ngày     tháng     năm 2020</t>
  </si>
  <si>
    <t>( Kèm theo Quy chế chi tiêu nội bộ số ………/QC-…….. ngày …………..
của trường THCS Phú Hòa</t>
  </si>
  <si>
    <t>Căn cứ mức khoán chi được Phòng Giáo Dục và Đào Tạo giao chỉ tiêu cho đơn vị : 92 người ,</t>
  </si>
  <si>
    <t xml:space="preserve">trong đó biên chế    87    người, ngoài biên chế     5    người </t>
  </si>
  <si>
    <t>Kinh phí tự chủ năm 2020 được PhòngGD và ĐT Tp. Thủ Dầu Một giao khoán cho đơn vị với số tiền là 11.017.000.000 đồng đơn vị dự toán chi như sau:</t>
  </si>
  <si>
    <t xml:space="preserve">Biên chế được giao      87      người </t>
  </si>
  <si>
    <t>+ Lương biên chế :  (345,65 *1.210.000đ * 12 tháng )</t>
  </si>
  <si>
    <t>+Lương hợp đồng : (8,66 * 1.210.000đ * 12 tháng )</t>
  </si>
  <si>
    <t>+ Nâng lương  2%</t>
  </si>
  <si>
    <t>+ Phụ cấp chức vụ : (3,95*1.210.000đ *12 tháng)</t>
  </si>
  <si>
    <t>+ Phụ cấp ưu đãi (97,107*1.210.000đ *12 tháng)</t>
  </si>
  <si>
    <t>+ Truy Phụ cấp ưu đãi: (187.633.127đ * 30%)</t>
  </si>
  <si>
    <t>+ Phụ cấp trách nhiệm: (0,6*1.210.000đ *12 tháng)</t>
  </si>
  <si>
    <t>+ PC thâm niên (68.694 * 1.210.000đ * 12 tháng)</t>
  </si>
  <si>
    <t>+ PC vượt khung (3.817 * 1.210.000đ * 12 tháng)</t>
  </si>
  <si>
    <t>Tiền tàu xe nghỉ phép năm (10 người * 2.600.000đ)</t>
  </si>
  <si>
    <t>- Mua sổ gọi tên, ghi điểm, dự giờ, chủ nhiệm, đầu bài, lịch báo giảng, đăng bộ, mượn thiết bị, đăng ký sách, thống kê bạn đọc, sổ ghi đầu bài, phấn viết bảng ( 2.000.000đ/lớp * 42 lớp)</t>
  </si>
  <si>
    <t>- Khen Thưởng học sinh cuối năm: (4.000.000đ/lớp *42 lớp)</t>
  </si>
  <si>
    <t>- Xét tốt nghiệp: (15gv * 20 000đ * 15 ngày)+ VPP xét tốt nghiệp (200.000đ)</t>
  </si>
  <si>
    <t>- Phù hiệu ( 1.806 hs * 12.000đ/hs/5 cái)</t>
  </si>
  <si>
    <t>- Pho to đề thi, giấy thi (1.806 hs * 20.000đ * 2 HK)</t>
  </si>
  <si>
    <t>- Học bạ, giấy kiếng, bìa hồ sơ lớp 6 (470 hs * 16.000đ/hs)</t>
  </si>
  <si>
    <t>- Nước uống cho học sinh (1.806 hs * 5.000 * 10 tháng)</t>
  </si>
  <si>
    <t>Giữ xe; VS, giám thị, ANTT ( 4.000.000 đ/người * 4 người + 2.500.000 đ 8* 1 người * 10 tháng)</t>
  </si>
  <si>
    <t>- Phiếu liên lạc, thẻ HS (1.806hs * 10.000đ/hs)</t>
  </si>
  <si>
    <t>- Giấy khen (6.000.000 đ * 2 hk)</t>
  </si>
  <si>
    <t>- Mua sách pháp luật, truyện tranh, sách giáo khoa, sách tham khảo, 
tài liệu chuyên môn ( 1.000.000 đ/lớp * 42 lớp)</t>
  </si>
  <si>
    <t>- Mua trang thiết bị ĐDDH ( 2.000.000đ * 42 lớp)</t>
  </si>
  <si>
    <t>Phòng GD và ĐT Tp.Thủ Dầu Một giao định mức cho đơn vị thu học phí với số tiền là 1.094.000.000đ đơn vi dự toán chi các khoản sau:</t>
  </si>
  <si>
    <t>+ Nước uống : (92 * 50.000đ * 12 tháng)</t>
  </si>
  <si>
    <t>VPP làm việc (500.000đ * 42 lớp * 2 HK)</t>
  </si>
  <si>
    <t xml:space="preserve">VRTMH (500.000đ * 42 lớp * 2 HK)        </t>
  </si>
  <si>
    <t>VPP cá nhân ( 50.000 đồng * 87 GV * 12 tháng)</t>
  </si>
  <si>
    <t>Cước phí điện thoại (750.000đ/máy * 2 máy * 12 tháng)</t>
  </si>
  <si>
    <r>
      <t xml:space="preserve">Phòng GD và ĐT Tp.Thủ Dầu Một giao định mức cho đơn vị thu học phí với số tiền là </t>
    </r>
    <r>
      <rPr>
        <b/>
        <sz val="13"/>
        <rFont val="Times New Roman"/>
        <family val="1"/>
      </rPr>
      <t>117.000.000đ</t>
    </r>
    <r>
      <rPr>
        <sz val="13"/>
        <rFont val="Times New Roman"/>
        <family val="1"/>
      </rPr>
      <t xml:space="preserve"> đơn vi dự toán chi các khoản sau:</t>
    </r>
  </si>
  <si>
    <t>- Chi tổ chức thao giảng tổ mạng lưới chuyên môn ( 300.000 đ/lần)</t>
  </si>
  <si>
    <t>- Chi khác</t>
  </si>
  <si>
    <t>- Hiếu hỷ:  500.000 đ * 5 trường hợp</t>
  </si>
  <si>
    <t>- Chi khác: Hỗ trợ GV tiền tết, ngày 8/3, 20/10, 20/11, viết SKKN…</t>
  </si>
  <si>
    <t>+ Phụ cấp độc hại: (0,2*1.210.000*12 tháng)</t>
  </si>
  <si>
    <t>+ Nước uống : (92*20.000đ *12 tháng)</t>
  </si>
  <si>
    <t>6502</t>
  </si>
  <si>
    <t>Nước máy (1.000.000 đ * 12 tháng)</t>
  </si>
  <si>
    <t>+ Mục 6500 : Thanh toán dịch vụ công cộng</t>
  </si>
  <si>
    <t>+ Thông toán dịch vụ công cộng</t>
  </si>
  <si>
    <t xml:space="preserve">Cước phí điện thoại </t>
  </si>
  <si>
    <t>Cước phí Internet, thư điện tử</t>
  </si>
  <si>
    <t>Thanh toán điện sinh hoạt: 12.000.000 đ/tháng * 12 tháng</t>
  </si>
  <si>
    <t>Công tác phí</t>
  </si>
  <si>
    <t>Thuê mướn, bảo trì máy vi tính cho phòng máy: 1.000.000 đ/ lớp * 42 lớp</t>
  </si>
  <si>
    <t>Nước máy (675.000 đ *12 tháng)</t>
  </si>
  <si>
    <t>Vệ sinh môi trường: (500.000đ * 12 tháng)</t>
  </si>
  <si>
    <t>Điện sinh hoạt (8.738.654đ * 12 tháng)</t>
  </si>
  <si>
    <t>VPP làm việc (200.000đ x 42 lớp x 2 HK)</t>
  </si>
  <si>
    <t>VPP cá nhân ( 60.000 đồng * 87 GV * 4 quý)</t>
  </si>
  <si>
    <t>Chi hỗ trợ hoạt động của HS (400.000đ x 1806hs)</t>
  </si>
  <si>
    <t>+ Chi phí sửa chữa thường xuyên</t>
  </si>
  <si>
    <t>+ Dự phòng</t>
  </si>
  <si>
    <t>+ Mục 6750 : Chi phí thuê mướn</t>
  </si>
  <si>
    <t>Chi thuê xe</t>
  </si>
  <si>
    <t>Chi thuê mướn</t>
  </si>
  <si>
    <t>+ Mục 6700 : Công tác phí</t>
  </si>
  <si>
    <t>Khoán công tác phí</t>
  </si>
  <si>
    <t>Sách, báo...</t>
  </si>
  <si>
    <t>Cước phí Internet</t>
  </si>
  <si>
    <t>- Chi Khen thưởng các phong trào, hội thi vòng trường, sinh hoạt chuyên đề, sinh hoạt ngoại khóa như sau: 
   + Khen tập thể: Giải I: 150.000đ; Giải II: 100.000đ; Giải III: 75.000 đ)
   + Khen cá nhân: Giải I: 100.000 đ, giải II: 80.000 đ. Giải III: 60.000</t>
  </si>
  <si>
    <t>- Chi hỗ trợ GV BD học sinh giỏi ( Violympic, sao khuê, Lương thế vinh, Toán, TNTH, KHKT…..
Định mức: 50.000 đ/tiết bồi dưỡng)</t>
  </si>
  <si>
    <t>- Hỗ trợ tổ chức Hội thi vòng trường: Đồ dùng dạy học, thi TNTH, Hội khỏe Phù đổng, thi GV dạy Giỏi, sinh hoạt chuyên đề, ngoại khóa ........</t>
  </si>
  <si>
    <t>- Xét tuyển sinh: (15 gv * 30 000đ * 7 ngày)+VPP xét tuyển sinh (200.000đ)</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</si>
</sst>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_);_(* \(#,##0.0\);_(* &quot;-&quot;??_);_(@_)"/>
    <numFmt numFmtId="181" formatCode="_(* #,##0_);_(* \(#,##0\);_(* &quot;-&quot;??_);_(@_)"/>
    <numFmt numFmtId="182" formatCode="###,###,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s>
  <fonts count="54">
    <font>
      <sz val="12"/>
      <name val="Vni-times"/>
      <family val="0"/>
    </font>
    <font>
      <sz val="12"/>
      <name val="Times New Roman"/>
      <family val="1"/>
    </font>
    <font>
      <sz val="8"/>
      <name val="VNI-Times"/>
      <family val="0"/>
    </font>
    <font>
      <sz val="13"/>
      <name val="Times New Roman"/>
      <family val="1"/>
    </font>
    <font>
      <u val="single"/>
      <sz val="12"/>
      <color indexed="12"/>
      <name val="VNI-Times"/>
      <family val="0"/>
    </font>
    <font>
      <u val="single"/>
      <sz val="12"/>
      <color indexed="36"/>
      <name val="VNI-Times"/>
      <family val="0"/>
    </font>
    <font>
      <b/>
      <sz val="13"/>
      <name val="Times New Roman"/>
      <family val="1"/>
    </font>
    <font>
      <b/>
      <u val="single"/>
      <sz val="13"/>
      <name val="Times New Roman"/>
      <family val="1"/>
    </font>
    <font>
      <b/>
      <i/>
      <u val="single"/>
      <sz val="13"/>
      <name val="Times New Roman"/>
      <family val="1"/>
    </font>
    <font>
      <b/>
      <i/>
      <sz val="13"/>
      <name val="Times New Roman"/>
      <family val="1"/>
    </font>
    <font>
      <b/>
      <sz val="18"/>
      <name val="Times New Roman"/>
      <family val="1"/>
    </font>
    <font>
      <i/>
      <sz val="13"/>
      <name val="Times New Roman"/>
      <family val="1"/>
    </font>
    <font>
      <b/>
      <sz val="13"/>
      <color indexed="10"/>
      <name val="Times New Roman"/>
      <family val="1"/>
    </font>
    <font>
      <b/>
      <sz val="13"/>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3"/>
      <color indexed="9"/>
      <name val="Times New Roman"/>
      <family val="1"/>
    </font>
    <font>
      <b/>
      <sz val="13"/>
      <color indexed="9"/>
      <name val="Times New Roman"/>
      <family val="1"/>
    </font>
    <font>
      <sz val="13"/>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3"/>
      <color theme="0"/>
      <name val="Times New Roman"/>
      <family val="1"/>
    </font>
    <font>
      <b/>
      <sz val="13"/>
      <color theme="0"/>
      <name val="Times New Roman"/>
      <family val="1"/>
    </font>
    <font>
      <sz val="13"/>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1" fillId="0" borderId="0" xfId="0" applyFont="1" applyAlignment="1">
      <alignment/>
    </xf>
    <xf numFmtId="0" fontId="3" fillId="0" borderId="0" xfId="0" applyFont="1" applyAlignment="1">
      <alignment/>
    </xf>
    <xf numFmtId="0" fontId="6" fillId="0" borderId="0" xfId="0" applyFont="1" applyAlignment="1">
      <alignment/>
    </xf>
    <xf numFmtId="3" fontId="3" fillId="0" borderId="0" xfId="0" applyNumberFormat="1" applyFont="1" applyAlignment="1">
      <alignment/>
    </xf>
    <xf numFmtId="3" fontId="6" fillId="0" borderId="0" xfId="0" applyNumberFormat="1" applyFont="1" applyAlignment="1">
      <alignment/>
    </xf>
    <xf numFmtId="49" fontId="3" fillId="0" borderId="0" xfId="0" applyNumberFormat="1" applyFont="1" applyAlignment="1">
      <alignment/>
    </xf>
    <xf numFmtId="3" fontId="1" fillId="0" borderId="0" xfId="0" applyNumberFormat="1" applyFont="1" applyAlignment="1">
      <alignment/>
    </xf>
    <xf numFmtId="49" fontId="6" fillId="0" borderId="0" xfId="0" applyNumberFormat="1" applyFont="1" applyAlignment="1">
      <alignment/>
    </xf>
    <xf numFmtId="0" fontId="3" fillId="0" borderId="0" xfId="0" applyFont="1" applyFill="1" applyAlignment="1">
      <alignment/>
    </xf>
    <xf numFmtId="49" fontId="8" fillId="0" borderId="0" xfId="0" applyNumberFormat="1" applyFont="1" applyAlignment="1">
      <alignment/>
    </xf>
    <xf numFmtId="0" fontId="3" fillId="0" borderId="0" xfId="0" applyFont="1" applyAlignment="1">
      <alignment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3" fontId="6" fillId="0" borderId="10" xfId="0" applyNumberFormat="1" applyFont="1" applyBorder="1" applyAlignment="1">
      <alignment horizontal="right" vertical="center"/>
    </xf>
    <xf numFmtId="0" fontId="9" fillId="0" borderId="0" xfId="0" applyFont="1" applyAlignment="1">
      <alignment/>
    </xf>
    <xf numFmtId="0" fontId="11" fillId="0" borderId="0" xfId="0" applyFont="1" applyAlignment="1">
      <alignment/>
    </xf>
    <xf numFmtId="3" fontId="6" fillId="0" borderId="10" xfId="0" applyNumberFormat="1" applyFont="1" applyBorder="1" applyAlignment="1">
      <alignment vertical="center"/>
    </xf>
    <xf numFmtId="3" fontId="11" fillId="0" borderId="0" xfId="0" applyNumberFormat="1"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6" fillId="0" borderId="0" xfId="0" applyNumberFormat="1" applyFont="1" applyFill="1" applyAlignment="1">
      <alignment/>
    </xf>
    <xf numFmtId="0" fontId="7" fillId="0" borderId="0" xfId="0" applyFont="1" applyFill="1" applyAlignment="1">
      <alignment/>
    </xf>
    <xf numFmtId="3" fontId="6" fillId="0" borderId="0" xfId="0" applyNumberFormat="1" applyFont="1" applyFill="1" applyAlignment="1">
      <alignment/>
    </xf>
    <xf numFmtId="182" fontId="6" fillId="0" borderId="10" xfId="0" applyNumberFormat="1" applyFont="1" applyBorder="1" applyAlignment="1">
      <alignment horizontal="right" vertical="center"/>
    </xf>
    <xf numFmtId="3" fontId="3" fillId="0" borderId="0" xfId="0" applyNumberFormat="1" applyFont="1" applyFill="1" applyAlignment="1">
      <alignment/>
    </xf>
    <xf numFmtId="0" fontId="11" fillId="0" borderId="0" xfId="0" applyFont="1" applyBorder="1" applyAlignment="1">
      <alignment/>
    </xf>
    <xf numFmtId="3" fontId="11" fillId="0" borderId="0" xfId="0" applyNumberFormat="1" applyFont="1" applyFill="1" applyBorder="1" applyAlignment="1">
      <alignment/>
    </xf>
    <xf numFmtId="3" fontId="9" fillId="0" borderId="11" xfId="0" applyNumberFormat="1" applyFont="1" applyBorder="1" applyAlignment="1">
      <alignment horizontal="center" vertical="center"/>
    </xf>
    <xf numFmtId="0" fontId="6" fillId="0" borderId="11" xfId="0" applyFont="1" applyBorder="1" applyAlignment="1">
      <alignment horizontal="center" vertical="center" wrapText="1"/>
    </xf>
    <xf numFmtId="0" fontId="7" fillId="33" borderId="0" xfId="0" applyFont="1" applyFill="1" applyBorder="1" applyAlignment="1">
      <alignment/>
    </xf>
    <xf numFmtId="3" fontId="3" fillId="33" borderId="0" xfId="0" applyNumberFormat="1" applyFont="1" applyFill="1" applyAlignment="1">
      <alignment/>
    </xf>
    <xf numFmtId="3" fontId="6" fillId="33" borderId="10" xfId="0" applyNumberFormat="1" applyFont="1" applyFill="1" applyBorder="1" applyAlignment="1">
      <alignment/>
    </xf>
    <xf numFmtId="0" fontId="7" fillId="33" borderId="0" xfId="0" applyFont="1" applyFill="1" applyAlignment="1">
      <alignment/>
    </xf>
    <xf numFmtId="49" fontId="3" fillId="0" borderId="0" xfId="0" applyNumberFormat="1" applyFont="1" applyAlignment="1" quotePrefix="1">
      <alignment/>
    </xf>
    <xf numFmtId="0" fontId="3" fillId="0" borderId="0" xfId="0" applyFont="1" applyAlignment="1" quotePrefix="1">
      <alignment/>
    </xf>
    <xf numFmtId="3" fontId="11" fillId="0" borderId="0" xfId="0" applyNumberFormat="1" applyFont="1" applyBorder="1" applyAlignment="1">
      <alignment/>
    </xf>
    <xf numFmtId="0" fontId="7" fillId="33" borderId="10" xfId="0" applyFont="1" applyFill="1" applyBorder="1" applyAlignment="1">
      <alignment horizontal="center" vertical="center"/>
    </xf>
    <xf numFmtId="3" fontId="7" fillId="33" borderId="10" xfId="0" applyNumberFormat="1" applyFont="1" applyFill="1" applyBorder="1" applyAlignment="1">
      <alignment horizontal="right" vertical="center"/>
    </xf>
    <xf numFmtId="0" fontId="7" fillId="0" borderId="0" xfId="0" applyFont="1" applyAlignment="1">
      <alignment/>
    </xf>
    <xf numFmtId="3" fontId="6" fillId="33" borderId="0" xfId="0" applyNumberFormat="1" applyFont="1" applyFill="1" applyBorder="1" applyAlignment="1">
      <alignment/>
    </xf>
    <xf numFmtId="0" fontId="3" fillId="0" borderId="0" xfId="0" applyFont="1" applyAlignment="1">
      <alignment horizontal="left" wrapText="1"/>
    </xf>
    <xf numFmtId="3" fontId="9" fillId="0" borderId="11" xfId="0" applyNumberFormat="1" applyFont="1" applyBorder="1" applyAlignment="1">
      <alignment horizontal="center" vertical="center" wrapText="1"/>
    </xf>
    <xf numFmtId="3" fontId="6" fillId="33" borderId="12" xfId="0" applyNumberFormat="1" applyFont="1" applyFill="1" applyBorder="1" applyAlignment="1">
      <alignment/>
    </xf>
    <xf numFmtId="49" fontId="6" fillId="0" borderId="0" xfId="0" applyNumberFormat="1" applyFont="1" applyFill="1" applyAlignment="1" quotePrefix="1">
      <alignment/>
    </xf>
    <xf numFmtId="3" fontId="51" fillId="34" borderId="0" xfId="0" applyNumberFormat="1" applyFont="1" applyFill="1" applyAlignment="1">
      <alignment/>
    </xf>
    <xf numFmtId="3" fontId="51" fillId="0" borderId="0" xfId="0" applyNumberFormat="1" applyFont="1" applyFill="1" applyAlignment="1">
      <alignment/>
    </xf>
    <xf numFmtId="0" fontId="6" fillId="0" borderId="0" xfId="0" applyFont="1" applyAlignment="1">
      <alignment horizontal="center"/>
    </xf>
    <xf numFmtId="3" fontId="52" fillId="0" borderId="0" xfId="0" applyNumberFormat="1" applyFont="1" applyFill="1" applyBorder="1" applyAlignment="1">
      <alignment/>
    </xf>
    <xf numFmtId="3" fontId="53" fillId="0" borderId="0" xfId="0" applyNumberFormat="1" applyFont="1" applyAlignment="1">
      <alignment/>
    </xf>
    <xf numFmtId="3" fontId="7" fillId="0" borderId="0" xfId="0" applyNumberFormat="1" applyFont="1" applyAlignment="1">
      <alignment/>
    </xf>
    <xf numFmtId="3" fontId="12" fillId="0" borderId="0" xfId="0" applyNumberFormat="1" applyFont="1" applyFill="1" applyAlignment="1">
      <alignment horizontal="center"/>
    </xf>
    <xf numFmtId="49" fontId="6" fillId="0" borderId="0" xfId="0" applyNumberFormat="1" applyFont="1" applyFill="1" applyAlignment="1">
      <alignment horizontal="center"/>
    </xf>
    <xf numFmtId="49" fontId="7" fillId="0" borderId="0" xfId="0" applyNumberFormat="1" applyFont="1" applyAlignment="1">
      <alignment/>
    </xf>
    <xf numFmtId="3" fontId="8" fillId="33" borderId="13" xfId="0" applyNumberFormat="1" applyFont="1" applyFill="1" applyBorder="1" applyAlignment="1">
      <alignment/>
    </xf>
    <xf numFmtId="0" fontId="8" fillId="0" borderId="0" xfId="0" applyFont="1" applyFill="1" applyAlignment="1">
      <alignment/>
    </xf>
    <xf numFmtId="0" fontId="6" fillId="0" borderId="0" xfId="0" applyFont="1" applyFill="1" applyAlignment="1">
      <alignment horizontal="center"/>
    </xf>
    <xf numFmtId="3" fontId="8" fillId="0" borderId="13" xfId="0" applyNumberFormat="1" applyFont="1" applyBorder="1" applyAlignment="1">
      <alignment/>
    </xf>
    <xf numFmtId="3" fontId="7" fillId="0" borderId="10" xfId="0" applyNumberFormat="1" applyFont="1" applyBorder="1" applyAlignment="1">
      <alignment/>
    </xf>
    <xf numFmtId="3" fontId="7" fillId="0" borderId="0" xfId="0" applyNumberFormat="1" applyFont="1" applyBorder="1" applyAlignment="1">
      <alignment/>
    </xf>
    <xf numFmtId="3" fontId="9" fillId="0" borderId="14" xfId="0" applyNumberFormat="1"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wrapText="1"/>
    </xf>
    <xf numFmtId="0" fontId="6" fillId="0" borderId="0" xfId="0" applyFont="1" applyAlignment="1">
      <alignment/>
    </xf>
    <xf numFmtId="0" fontId="8" fillId="0" borderId="0" xfId="0" applyFont="1" applyBorder="1" applyAlignment="1">
      <alignment horizontal="center"/>
    </xf>
    <xf numFmtId="3" fontId="8" fillId="33" borderId="0" xfId="0" applyNumberFormat="1" applyFont="1" applyFill="1" applyBorder="1" applyAlignment="1">
      <alignment/>
    </xf>
    <xf numFmtId="0" fontId="8" fillId="0" borderId="0" xfId="0" applyFont="1" applyFill="1" applyBorder="1" applyAlignment="1">
      <alignment horizontal="center"/>
    </xf>
    <xf numFmtId="3" fontId="8" fillId="0" borderId="0" xfId="0" applyNumberFormat="1" applyFont="1" applyBorder="1" applyAlignment="1">
      <alignment/>
    </xf>
    <xf numFmtId="0" fontId="7"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49" fontId="6" fillId="0" borderId="0" xfId="0" applyNumberFormat="1" applyFont="1" applyFill="1" applyAlignment="1">
      <alignment horizontal="center"/>
    </xf>
    <xf numFmtId="0" fontId="3" fillId="0" borderId="0" xfId="0" applyFont="1" applyAlignment="1">
      <alignment horizontal="left" wrapText="1"/>
    </xf>
    <xf numFmtId="0" fontId="6" fillId="0" borderId="0" xfId="0" applyFont="1" applyAlignment="1">
      <alignment horizontal="left" wrapText="1"/>
    </xf>
    <xf numFmtId="0" fontId="3" fillId="0" borderId="0" xfId="0" applyFont="1" applyAlignment="1" quotePrefix="1">
      <alignment horizontal="left" wrapText="1"/>
    </xf>
    <xf numFmtId="0" fontId="13" fillId="0" borderId="0" xfId="0" applyFont="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7" xfId="0" applyFont="1" applyFill="1" applyBorder="1" applyAlignment="1">
      <alignment horizontal="center"/>
    </xf>
    <xf numFmtId="0" fontId="3"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wrapText="1"/>
    </xf>
    <xf numFmtId="0" fontId="10" fillId="0" borderId="0" xfId="0" applyFont="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8"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9"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xdr:row>
      <xdr:rowOff>104775</xdr:rowOff>
    </xdr:from>
    <xdr:to>
      <xdr:col>2</xdr:col>
      <xdr:colOff>190500</xdr:colOff>
      <xdr:row>2</xdr:row>
      <xdr:rowOff>104775</xdr:rowOff>
    </xdr:to>
    <xdr:sp>
      <xdr:nvSpPr>
        <xdr:cNvPr id="1" name="Straight Connector 2"/>
        <xdr:cNvSpPr>
          <a:spLocks/>
        </xdr:cNvSpPr>
      </xdr:nvSpPr>
      <xdr:spPr>
        <a:xfrm>
          <a:off x="619125" y="828675"/>
          <a:ext cx="18954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6</xdr:col>
      <xdr:colOff>704850</xdr:colOff>
      <xdr:row>2</xdr:row>
      <xdr:rowOff>66675</xdr:rowOff>
    </xdr:from>
    <xdr:to>
      <xdr:col>8</xdr:col>
      <xdr:colOff>704850</xdr:colOff>
      <xdr:row>2</xdr:row>
      <xdr:rowOff>66675</xdr:rowOff>
    </xdr:to>
    <xdr:sp>
      <xdr:nvSpPr>
        <xdr:cNvPr id="2" name="Straight Connector 4"/>
        <xdr:cNvSpPr>
          <a:spLocks/>
        </xdr:cNvSpPr>
      </xdr:nvSpPr>
      <xdr:spPr>
        <a:xfrm>
          <a:off x="7172325" y="790575"/>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70"/>
  <sheetViews>
    <sheetView tabSelected="1" zoomScale="70" zoomScaleNormal="70" zoomScaleSheetLayoutView="100" zoomScalePageLayoutView="0" workbookViewId="0" topLeftCell="A97">
      <selection activeCell="B99" sqref="B99:I99"/>
    </sheetView>
  </sheetViews>
  <sheetFormatPr defaultColWidth="8.796875" defaultRowHeight="15"/>
  <cols>
    <col min="1" max="1" width="10.3984375" style="1" customWidth="1"/>
    <col min="2" max="2" width="14" style="1" customWidth="1"/>
    <col min="3" max="3" width="12.3984375" style="1" customWidth="1"/>
    <col min="4" max="4" width="14" style="1" bestFit="1" customWidth="1"/>
    <col min="5" max="5" width="8.69921875" style="1" customWidth="1"/>
    <col min="6" max="6" width="8.3984375" style="1" customWidth="1"/>
    <col min="7" max="7" width="8" style="1" customWidth="1"/>
    <col min="8" max="8" width="6" style="1" customWidth="1"/>
    <col min="9" max="9" width="14" style="7" bestFit="1" customWidth="1"/>
    <col min="10" max="10" width="15.8984375" style="7" bestFit="1" customWidth="1"/>
    <col min="11" max="11" width="15.19921875" style="1" customWidth="1"/>
    <col min="12" max="12" width="11.8984375" style="1" bestFit="1" customWidth="1"/>
    <col min="13" max="16384" width="9" style="1" customWidth="1"/>
  </cols>
  <sheetData>
    <row r="1" spans="1:10" s="2" customFormat="1" ht="28.5" customHeight="1">
      <c r="A1" s="64" t="s">
        <v>59</v>
      </c>
      <c r="B1" s="64"/>
      <c r="C1" s="64"/>
      <c r="D1" s="64"/>
      <c r="E1" s="70" t="s">
        <v>53</v>
      </c>
      <c r="F1" s="70"/>
      <c r="G1" s="70"/>
      <c r="H1" s="70"/>
      <c r="I1" s="70"/>
      <c r="J1" s="70"/>
    </row>
    <row r="2" spans="1:10" s="2" customFormat="1" ht="28.5" customHeight="1">
      <c r="A2" s="3" t="s">
        <v>169</v>
      </c>
      <c r="E2" s="71" t="s">
        <v>0</v>
      </c>
      <c r="F2" s="71"/>
      <c r="G2" s="71"/>
      <c r="H2" s="71"/>
      <c r="I2" s="71"/>
      <c r="J2" s="71"/>
    </row>
    <row r="3" spans="1:10" s="2" customFormat="1" ht="28.5" customHeight="1">
      <c r="A3" s="70"/>
      <c r="B3" s="70"/>
      <c r="E3" s="84" t="s">
        <v>170</v>
      </c>
      <c r="F3" s="84"/>
      <c r="G3" s="84"/>
      <c r="H3" s="84"/>
      <c r="I3" s="84"/>
      <c r="J3" s="84"/>
    </row>
    <row r="4" spans="1:10" s="2" customFormat="1" ht="20.25" customHeight="1">
      <c r="A4" s="20"/>
      <c r="B4" s="20"/>
      <c r="E4" s="62"/>
      <c r="F4" s="62"/>
      <c r="G4" s="62"/>
      <c r="H4" s="62"/>
      <c r="I4" s="62"/>
      <c r="J4" s="62"/>
    </row>
    <row r="5" spans="1:10" s="2" customFormat="1" ht="28.5" customHeight="1">
      <c r="A5" s="76" t="s">
        <v>68</v>
      </c>
      <c r="B5" s="76"/>
      <c r="C5" s="76"/>
      <c r="D5" s="76"/>
      <c r="E5" s="76"/>
      <c r="F5" s="76"/>
      <c r="G5" s="76"/>
      <c r="H5" s="76"/>
      <c r="I5" s="76"/>
      <c r="J5" s="76"/>
    </row>
    <row r="6" spans="1:10" s="2" customFormat="1" ht="28.5" customHeight="1">
      <c r="A6" s="76" t="s">
        <v>143</v>
      </c>
      <c r="B6" s="76"/>
      <c r="C6" s="76"/>
      <c r="D6" s="76"/>
      <c r="E6" s="76"/>
      <c r="F6" s="76"/>
      <c r="G6" s="76"/>
      <c r="H6" s="76"/>
      <c r="I6" s="76"/>
      <c r="J6" s="76"/>
    </row>
    <row r="7" spans="1:10" s="2" customFormat="1" ht="41.25" customHeight="1">
      <c r="A7" s="85" t="s">
        <v>171</v>
      </c>
      <c r="B7" s="84"/>
      <c r="C7" s="84"/>
      <c r="D7" s="84"/>
      <c r="E7" s="84"/>
      <c r="F7" s="84"/>
      <c r="G7" s="84"/>
      <c r="H7" s="84"/>
      <c r="I7" s="84"/>
      <c r="J7" s="84"/>
    </row>
    <row r="8" spans="1:10" s="2" customFormat="1" ht="23.25" customHeight="1">
      <c r="A8" s="63"/>
      <c r="B8" s="62"/>
      <c r="C8" s="62"/>
      <c r="D8" s="62"/>
      <c r="E8" s="62"/>
      <c r="F8" s="62"/>
      <c r="G8" s="62"/>
      <c r="H8" s="62"/>
      <c r="I8" s="62"/>
      <c r="J8" s="62"/>
    </row>
    <row r="9" spans="1:10" s="2" customFormat="1" ht="28.5" customHeight="1">
      <c r="A9" s="40" t="s">
        <v>55</v>
      </c>
      <c r="I9" s="4"/>
      <c r="J9" s="4"/>
    </row>
    <row r="10" spans="1:10" s="2" customFormat="1" ht="28.5" customHeight="1">
      <c r="A10" s="2" t="s">
        <v>172</v>
      </c>
      <c r="I10" s="4"/>
      <c r="J10" s="4"/>
    </row>
    <row r="11" spans="1:10" s="2" customFormat="1" ht="28.5" customHeight="1">
      <c r="A11" s="2" t="s">
        <v>173</v>
      </c>
      <c r="I11" s="4"/>
      <c r="J11" s="4"/>
    </row>
    <row r="12" spans="1:10" s="3" customFormat="1" ht="28.5" customHeight="1">
      <c r="A12" s="3" t="s">
        <v>144</v>
      </c>
      <c r="I12" s="5"/>
      <c r="J12" s="5">
        <f>J13+J15+J14</f>
        <v>12228000000</v>
      </c>
    </row>
    <row r="13" spans="2:10" s="3" customFormat="1" ht="28.5" customHeight="1">
      <c r="B13" s="17" t="s">
        <v>46</v>
      </c>
      <c r="I13" s="5"/>
      <c r="J13" s="19">
        <v>1094000000</v>
      </c>
    </row>
    <row r="14" spans="2:10" s="3" customFormat="1" ht="28.5" customHeight="1">
      <c r="B14" s="17" t="s">
        <v>82</v>
      </c>
      <c r="I14" s="5"/>
      <c r="J14" s="19">
        <v>117000000</v>
      </c>
    </row>
    <row r="15" spans="2:10" s="17" customFormat="1" ht="28.5" customHeight="1">
      <c r="B15" s="17" t="s">
        <v>145</v>
      </c>
      <c r="C15" s="16"/>
      <c r="D15" s="16"/>
      <c r="I15" s="19"/>
      <c r="J15" s="19">
        <v>11017000000</v>
      </c>
    </row>
    <row r="16" spans="2:10" s="3" customFormat="1" ht="18" customHeight="1">
      <c r="B16" s="2"/>
      <c r="E16" s="40"/>
      <c r="F16" s="40"/>
      <c r="G16" s="40"/>
      <c r="H16" s="40"/>
      <c r="I16" s="51"/>
      <c r="J16" s="51"/>
    </row>
    <row r="17" spans="1:10" s="3" customFormat="1" ht="28.5" customHeight="1">
      <c r="A17" s="40" t="s">
        <v>151</v>
      </c>
      <c r="E17" s="40"/>
      <c r="F17" s="40"/>
      <c r="G17" s="40"/>
      <c r="H17" s="40"/>
      <c r="I17" s="51"/>
      <c r="J17" s="51"/>
    </row>
    <row r="18" spans="1:10" s="3" customFormat="1" ht="48" customHeight="1">
      <c r="A18" s="73" t="s">
        <v>174</v>
      </c>
      <c r="B18" s="73"/>
      <c r="C18" s="73"/>
      <c r="D18" s="73"/>
      <c r="E18" s="73"/>
      <c r="F18" s="73"/>
      <c r="G18" s="73"/>
      <c r="H18" s="73"/>
      <c r="I18" s="73"/>
      <c r="J18" s="73"/>
    </row>
    <row r="19" spans="1:10" s="2" customFormat="1" ht="28.5" customHeight="1">
      <c r="A19" s="40" t="s">
        <v>1</v>
      </c>
      <c r="I19" s="4"/>
      <c r="J19" s="52"/>
    </row>
    <row r="20" spans="1:10" s="2" customFormat="1" ht="28.5" customHeight="1">
      <c r="A20" s="3" t="s">
        <v>175</v>
      </c>
      <c r="I20" s="4"/>
      <c r="J20" s="4"/>
    </row>
    <row r="21" spans="1:10" s="2" customFormat="1" ht="28.5" customHeight="1">
      <c r="A21" s="3" t="s">
        <v>18</v>
      </c>
      <c r="I21" s="4"/>
      <c r="J21" s="5">
        <f>SUM(J23:J25)</f>
        <v>5332214327</v>
      </c>
    </row>
    <row r="22" spans="1:10" s="2" customFormat="1" ht="28.5" customHeight="1">
      <c r="A22" s="20"/>
      <c r="B22" s="6" t="s">
        <v>2</v>
      </c>
      <c r="I22" s="4"/>
      <c r="J22" s="26">
        <v>1210000</v>
      </c>
    </row>
    <row r="23" spans="1:10" s="2" customFormat="1" ht="28.5" customHeight="1">
      <c r="A23" s="20">
        <v>6001</v>
      </c>
      <c r="B23" s="6" t="s">
        <v>176</v>
      </c>
      <c r="I23" s="4"/>
      <c r="J23" s="4">
        <f>(345.65*J22*12)</f>
        <v>5018838000</v>
      </c>
    </row>
    <row r="24" spans="1:10" s="2" customFormat="1" ht="28.5" customHeight="1">
      <c r="A24" s="20">
        <v>6051</v>
      </c>
      <c r="B24" s="6" t="s">
        <v>177</v>
      </c>
      <c r="I24" s="4"/>
      <c r="J24" s="4">
        <f>8.66*J22*12</f>
        <v>125743200</v>
      </c>
    </row>
    <row r="25" spans="1:11" s="2" customFormat="1" ht="28.5" customHeight="1">
      <c r="A25" s="20"/>
      <c r="B25" s="6" t="s">
        <v>178</v>
      </c>
      <c r="I25" s="4"/>
      <c r="J25" s="4">
        <v>187633127</v>
      </c>
      <c r="K25" s="4"/>
    </row>
    <row r="26" spans="1:11" s="2" customFormat="1" ht="28.5" customHeight="1">
      <c r="A26" s="8" t="s">
        <v>19</v>
      </c>
      <c r="I26" s="4"/>
      <c r="J26" s="5">
        <f>SUM(J27:J33)</f>
        <v>2588113298.1</v>
      </c>
      <c r="K26" s="4"/>
    </row>
    <row r="27" spans="1:10" s="2" customFormat="1" ht="28.5" customHeight="1">
      <c r="A27" s="20">
        <v>6101</v>
      </c>
      <c r="B27" s="6" t="s">
        <v>179</v>
      </c>
      <c r="I27" s="4" t="s">
        <v>44</v>
      </c>
      <c r="J27" s="4">
        <f>3.95*J22*12</f>
        <v>57354000</v>
      </c>
    </row>
    <row r="28" spans="1:10" s="2" customFormat="1" ht="28.5" customHeight="1">
      <c r="A28" s="20">
        <v>6107</v>
      </c>
      <c r="B28" s="35" t="s">
        <v>209</v>
      </c>
      <c r="I28" s="4"/>
      <c r="J28" s="4">
        <f>0.2*J22*12</f>
        <v>2904000</v>
      </c>
    </row>
    <row r="29" spans="1:10" s="2" customFormat="1" ht="28.5" customHeight="1">
      <c r="A29" s="20">
        <v>6112</v>
      </c>
      <c r="B29" s="6" t="s">
        <v>180</v>
      </c>
      <c r="I29" s="4"/>
      <c r="J29" s="4">
        <f>97.107*J22*12</f>
        <v>1409993640</v>
      </c>
    </row>
    <row r="30" spans="1:10" s="2" customFormat="1" ht="28.5" customHeight="1">
      <c r="A30" s="20"/>
      <c r="B30" s="35" t="s">
        <v>181</v>
      </c>
      <c r="I30" s="4"/>
      <c r="J30" s="4">
        <f>J25*30%</f>
        <v>56289938.1</v>
      </c>
    </row>
    <row r="31" spans="1:10" s="2" customFormat="1" ht="28.5" customHeight="1">
      <c r="A31" s="20">
        <v>6113</v>
      </c>
      <c r="B31" s="35" t="s">
        <v>182</v>
      </c>
      <c r="I31" s="4"/>
      <c r="J31" s="4">
        <f>0.6*J22*12</f>
        <v>8712000</v>
      </c>
    </row>
    <row r="32" spans="1:10" s="2" customFormat="1" ht="28.5" customHeight="1">
      <c r="A32" s="21" t="s">
        <v>60</v>
      </c>
      <c r="B32" s="6" t="s">
        <v>183</v>
      </c>
      <c r="I32" s="4"/>
      <c r="J32" s="4">
        <f>68.694*J22*12</f>
        <v>997436880</v>
      </c>
    </row>
    <row r="33" spans="1:10" s="2" customFormat="1" ht="28.5" customHeight="1">
      <c r="A33" s="21" t="s">
        <v>74</v>
      </c>
      <c r="B33" s="6" t="s">
        <v>184</v>
      </c>
      <c r="I33" s="4"/>
      <c r="J33" s="4">
        <f>3.817*J22*12</f>
        <v>55422840</v>
      </c>
    </row>
    <row r="34" spans="1:10" s="2" customFormat="1" ht="28.5" customHeight="1">
      <c r="A34" s="21"/>
      <c r="B34" s="6"/>
      <c r="I34" s="4"/>
      <c r="J34" s="4"/>
    </row>
    <row r="35" spans="1:10" s="2" customFormat="1" ht="28.5" customHeight="1">
      <c r="A35" s="8" t="s">
        <v>20</v>
      </c>
      <c r="B35" s="6"/>
      <c r="I35" s="4"/>
      <c r="J35" s="5">
        <f>J36</f>
        <v>26000000</v>
      </c>
    </row>
    <row r="36" spans="1:10" s="2" customFormat="1" ht="28.5" customHeight="1">
      <c r="A36" s="20">
        <v>6253</v>
      </c>
      <c r="B36" s="6" t="s">
        <v>185</v>
      </c>
      <c r="I36" s="4"/>
      <c r="J36" s="4">
        <f>10*2600000</f>
        <v>26000000</v>
      </c>
    </row>
    <row r="37" spans="1:10" s="2" customFormat="1" ht="28.5" customHeight="1">
      <c r="A37" s="8" t="s">
        <v>111</v>
      </c>
      <c r="I37" s="26"/>
      <c r="J37" s="5">
        <f>SUM(J38:J41)</f>
        <v>1513970590</v>
      </c>
    </row>
    <row r="38" spans="1:10" s="2" customFormat="1" ht="28.5" customHeight="1">
      <c r="A38" s="21" t="s">
        <v>26</v>
      </c>
      <c r="B38" s="2" t="s">
        <v>128</v>
      </c>
      <c r="I38" s="26"/>
      <c r="J38" s="4">
        <f>ROUND(($J$21+$J$27+$J$32+$J$33)*17.5%,0)</f>
        <v>1127424908</v>
      </c>
    </row>
    <row r="39" spans="1:10" s="2" customFormat="1" ht="28.5" customHeight="1">
      <c r="A39" s="21" t="s">
        <v>27</v>
      </c>
      <c r="B39" s="2" t="s">
        <v>75</v>
      </c>
      <c r="I39" s="26"/>
      <c r="J39" s="4">
        <f>ROUND(($J$21+$J$27+$J$32+$J$33)*3%,0)</f>
        <v>193272841</v>
      </c>
    </row>
    <row r="40" spans="1:10" s="2" customFormat="1" ht="28.5" customHeight="1">
      <c r="A40" s="21" t="s">
        <v>28</v>
      </c>
      <c r="B40" s="2" t="s">
        <v>76</v>
      </c>
      <c r="I40" s="26"/>
      <c r="J40" s="4">
        <f>ROUND(($J$21+$J$27+$J$32+$J$33)*1%,0)</f>
        <v>64424280</v>
      </c>
    </row>
    <row r="41" spans="1:10" s="2" customFormat="1" ht="28.5" customHeight="1">
      <c r="A41" s="21" t="s">
        <v>29</v>
      </c>
      <c r="B41" s="2" t="s">
        <v>77</v>
      </c>
      <c r="I41" s="26"/>
      <c r="J41" s="4">
        <f>ROUND(($J$21+$J$27++$J$32+$J$33)*2%,0)</f>
        <v>128848561</v>
      </c>
    </row>
    <row r="42" spans="1:10" s="9" customFormat="1" ht="28.5" customHeight="1">
      <c r="A42" s="72" t="s">
        <v>14</v>
      </c>
      <c r="B42" s="72"/>
      <c r="C42" s="72"/>
      <c r="D42" s="72"/>
      <c r="E42" s="72"/>
      <c r="F42" s="72"/>
      <c r="G42" s="72"/>
      <c r="H42" s="72"/>
      <c r="I42" s="72"/>
      <c r="J42" s="72"/>
    </row>
    <row r="43" spans="3:10" s="9" customFormat="1" ht="28.5" customHeight="1">
      <c r="C43" s="22" t="s">
        <v>15</v>
      </c>
      <c r="D43" s="22"/>
      <c r="E43" s="23"/>
      <c r="F43" s="23"/>
      <c r="G43" s="23"/>
      <c r="H43" s="23"/>
      <c r="I43" s="26"/>
      <c r="J43" s="24">
        <f>J21</f>
        <v>5332214327</v>
      </c>
    </row>
    <row r="44" spans="3:10" s="9" customFormat="1" ht="28.5" customHeight="1">
      <c r="C44" s="22" t="s">
        <v>16</v>
      </c>
      <c r="D44" s="22"/>
      <c r="E44" s="23"/>
      <c r="F44" s="23"/>
      <c r="G44" s="23"/>
      <c r="H44" s="23"/>
      <c r="I44" s="26"/>
      <c r="J44" s="24">
        <f>J26</f>
        <v>2588113298.1</v>
      </c>
    </row>
    <row r="45" spans="3:10" s="9" customFormat="1" ht="28.5" customHeight="1">
      <c r="C45" s="22" t="s">
        <v>92</v>
      </c>
      <c r="D45" s="22"/>
      <c r="E45" s="23"/>
      <c r="F45" s="23"/>
      <c r="G45" s="23"/>
      <c r="H45" s="23"/>
      <c r="I45" s="26"/>
      <c r="J45" s="24">
        <f>J35</f>
        <v>26000000</v>
      </c>
    </row>
    <row r="46" spans="3:10" s="9" customFormat="1" ht="28.5" customHeight="1">
      <c r="C46" s="22" t="s">
        <v>17</v>
      </c>
      <c r="D46" s="22"/>
      <c r="E46" s="23"/>
      <c r="F46" s="23"/>
      <c r="G46" s="23"/>
      <c r="H46" s="23"/>
      <c r="I46" s="26"/>
      <c r="J46" s="24">
        <f>J37</f>
        <v>1513970590</v>
      </c>
    </row>
    <row r="47" spans="1:10" s="9" customFormat="1" ht="28.5" customHeight="1">
      <c r="A47" s="22"/>
      <c r="E47" s="31" t="s">
        <v>4</v>
      </c>
      <c r="F47" s="31"/>
      <c r="G47" s="31"/>
      <c r="H47" s="31"/>
      <c r="I47" s="32"/>
      <c r="J47" s="33">
        <f>SUM(J43:J46)</f>
        <v>9460298215.1</v>
      </c>
    </row>
    <row r="48" spans="1:10" s="9" customFormat="1" ht="28.5" customHeight="1">
      <c r="A48" s="22"/>
      <c r="E48" s="31"/>
      <c r="F48" s="31"/>
      <c r="G48" s="31"/>
      <c r="H48" s="31"/>
      <c r="I48" s="32"/>
      <c r="J48" s="41"/>
    </row>
    <row r="49" spans="1:10" s="2" customFormat="1" ht="28.5" customHeight="1">
      <c r="A49" s="54" t="s">
        <v>3</v>
      </c>
      <c r="I49" s="4"/>
      <c r="J49" s="5"/>
    </row>
    <row r="50" spans="1:10" s="3" customFormat="1" ht="28.5" customHeight="1">
      <c r="A50" s="8" t="s">
        <v>213</v>
      </c>
      <c r="G50" s="5"/>
      <c r="H50" s="5"/>
      <c r="I50" s="5"/>
      <c r="J50" s="5">
        <f>SUM(J51:J51)</f>
        <v>144000000</v>
      </c>
    </row>
    <row r="51" spans="1:10" s="2" customFormat="1" ht="32.25" customHeight="1">
      <c r="A51" s="21" t="s">
        <v>30</v>
      </c>
      <c r="B51" s="73" t="s">
        <v>217</v>
      </c>
      <c r="C51" s="83"/>
      <c r="D51" s="83"/>
      <c r="E51" s="83"/>
      <c r="F51" s="83"/>
      <c r="G51" s="83"/>
      <c r="H51" s="83"/>
      <c r="I51" s="83"/>
      <c r="J51" s="4">
        <f>12000000*12</f>
        <v>144000000</v>
      </c>
    </row>
    <row r="52" spans="1:10" s="3" customFormat="1" ht="28.5" customHeight="1" hidden="1">
      <c r="A52" s="8" t="s">
        <v>161</v>
      </c>
      <c r="G52" s="5"/>
      <c r="H52" s="5"/>
      <c r="I52" s="5"/>
      <c r="J52" s="5">
        <f>SUM(J53:J53)</f>
        <v>0</v>
      </c>
    </row>
    <row r="53" spans="1:10" s="2" customFormat="1" ht="39.75" customHeight="1" hidden="1">
      <c r="A53" s="21" t="s">
        <v>63</v>
      </c>
      <c r="B53" s="73" t="s">
        <v>162</v>
      </c>
      <c r="C53" s="83"/>
      <c r="D53" s="83"/>
      <c r="E53" s="83"/>
      <c r="F53" s="83"/>
      <c r="G53" s="83"/>
      <c r="H53" s="83"/>
      <c r="I53" s="83"/>
      <c r="J53" s="4"/>
    </row>
    <row r="54" spans="1:10" s="3" customFormat="1" ht="28.5" customHeight="1" hidden="1">
      <c r="A54" s="8" t="s">
        <v>25</v>
      </c>
      <c r="I54" s="5"/>
      <c r="J54" s="5">
        <f>SUM(J55:J56)</f>
        <v>0</v>
      </c>
    </row>
    <row r="55" spans="1:10" s="2" customFormat="1" ht="28.5" customHeight="1" hidden="1">
      <c r="A55" s="21" t="s">
        <v>31</v>
      </c>
      <c r="B55" s="2" t="s">
        <v>215</v>
      </c>
      <c r="I55" s="4"/>
      <c r="J55" s="4">
        <v>0</v>
      </c>
    </row>
    <row r="56" spans="1:10" s="2" customFormat="1" ht="28.5" customHeight="1" hidden="1">
      <c r="A56" s="21" t="s">
        <v>64</v>
      </c>
      <c r="B56" s="2" t="s">
        <v>216</v>
      </c>
      <c r="I56" s="4"/>
      <c r="J56" s="4">
        <v>0</v>
      </c>
    </row>
    <row r="57" spans="1:10" s="3" customFormat="1" ht="28.5" customHeight="1" hidden="1">
      <c r="A57" s="8" t="s">
        <v>22</v>
      </c>
      <c r="I57" s="5"/>
      <c r="J57" s="5">
        <f>J58</f>
        <v>0</v>
      </c>
    </row>
    <row r="58" spans="1:10" s="3" customFormat="1" ht="28.5" customHeight="1" hidden="1">
      <c r="A58" s="21" t="s">
        <v>48</v>
      </c>
      <c r="B58" s="73" t="s">
        <v>78</v>
      </c>
      <c r="C58" s="73"/>
      <c r="D58" s="73"/>
      <c r="E58" s="73"/>
      <c r="F58" s="73"/>
      <c r="G58" s="73"/>
      <c r="H58" s="73"/>
      <c r="I58" s="73"/>
      <c r="J58" s="4"/>
    </row>
    <row r="59" spans="1:10" s="3" customFormat="1" ht="28.5" customHeight="1">
      <c r="A59" s="8" t="s">
        <v>23</v>
      </c>
      <c r="I59" s="5"/>
      <c r="J59" s="5">
        <f>SUM(J60:J60)</f>
        <v>18000000</v>
      </c>
    </row>
    <row r="60" spans="1:10" s="3" customFormat="1" ht="28.5" customHeight="1">
      <c r="A60" s="21" t="s">
        <v>138</v>
      </c>
      <c r="B60" s="73" t="s">
        <v>139</v>
      </c>
      <c r="C60" s="73"/>
      <c r="D60" s="73"/>
      <c r="E60" s="73"/>
      <c r="F60" s="73"/>
      <c r="G60" s="73"/>
      <c r="H60" s="73"/>
      <c r="I60" s="73"/>
      <c r="J60" s="4">
        <f>500000*3*12</f>
        <v>18000000</v>
      </c>
    </row>
    <row r="61" spans="1:10" s="3" customFormat="1" ht="28.5" customHeight="1">
      <c r="A61" s="8" t="s">
        <v>24</v>
      </c>
      <c r="I61" s="5"/>
      <c r="J61" s="5">
        <f>SUM(J62:J67)</f>
        <v>205000000</v>
      </c>
    </row>
    <row r="62" spans="1:10" s="2" customFormat="1" ht="47.25" customHeight="1">
      <c r="A62" s="21" t="s">
        <v>129</v>
      </c>
      <c r="B62" s="75" t="s">
        <v>159</v>
      </c>
      <c r="C62" s="73"/>
      <c r="D62" s="73"/>
      <c r="E62" s="73"/>
      <c r="F62" s="73"/>
      <c r="G62" s="73"/>
      <c r="H62" s="73"/>
      <c r="I62" s="73"/>
      <c r="J62" s="4">
        <v>20000000</v>
      </c>
    </row>
    <row r="63" spans="1:10" s="2" customFormat="1" ht="28.5" customHeight="1">
      <c r="A63" s="21"/>
      <c r="B63" s="75" t="s">
        <v>160</v>
      </c>
      <c r="C63" s="73"/>
      <c r="D63" s="73"/>
      <c r="E63" s="73"/>
      <c r="F63" s="73"/>
      <c r="G63" s="73"/>
      <c r="H63" s="73"/>
      <c r="I63" s="73"/>
      <c r="J63" s="4"/>
    </row>
    <row r="64" spans="1:10" s="2" customFormat="1" ht="28.5" customHeight="1">
      <c r="A64" s="21"/>
      <c r="B64" s="73" t="s">
        <v>146</v>
      </c>
      <c r="C64" s="73"/>
      <c r="D64" s="73"/>
      <c r="E64" s="73"/>
      <c r="F64" s="73"/>
      <c r="G64" s="73"/>
      <c r="H64" s="73"/>
      <c r="I64" s="73"/>
      <c r="J64" s="4"/>
    </row>
    <row r="65" spans="1:10" s="2" customFormat="1" ht="28.5" customHeight="1">
      <c r="A65" s="21"/>
      <c r="B65" s="73" t="s">
        <v>147</v>
      </c>
      <c r="C65" s="73"/>
      <c r="D65" s="73"/>
      <c r="E65" s="73"/>
      <c r="F65" s="73"/>
      <c r="G65" s="73"/>
      <c r="H65" s="73"/>
      <c r="I65" s="73"/>
      <c r="J65" s="4"/>
    </row>
    <row r="66" spans="1:10" s="2" customFormat="1" ht="28.5" customHeight="1">
      <c r="A66" s="21"/>
      <c r="B66" s="73" t="s">
        <v>148</v>
      </c>
      <c r="C66" s="73"/>
      <c r="D66" s="73"/>
      <c r="E66" s="73"/>
      <c r="F66" s="73"/>
      <c r="G66" s="73"/>
      <c r="H66" s="73"/>
      <c r="I66" s="73"/>
      <c r="J66" s="4"/>
    </row>
    <row r="67" spans="1:10" s="3" customFormat="1" ht="28.5" customHeight="1">
      <c r="A67" s="21" t="s">
        <v>154</v>
      </c>
      <c r="B67" s="2" t="s">
        <v>193</v>
      </c>
      <c r="C67" s="2"/>
      <c r="D67" s="2"/>
      <c r="E67" s="2"/>
      <c r="F67" s="2"/>
      <c r="G67" s="2"/>
      <c r="H67" s="2"/>
      <c r="I67" s="4"/>
      <c r="J67" s="4">
        <f>18500000*10</f>
        <v>185000000</v>
      </c>
    </row>
    <row r="68" spans="1:10" s="3" customFormat="1" ht="28.5" customHeight="1">
      <c r="A68" s="8" t="s">
        <v>50</v>
      </c>
      <c r="I68" s="5"/>
      <c r="J68" s="5">
        <f>SUM(J69:J74)</f>
        <v>65000000</v>
      </c>
    </row>
    <row r="69" spans="1:10" s="2" customFormat="1" ht="28.5" customHeight="1">
      <c r="A69" s="21" t="s">
        <v>93</v>
      </c>
      <c r="B69" s="2" t="s">
        <v>90</v>
      </c>
      <c r="I69" s="4"/>
      <c r="J69" s="4">
        <v>2000000</v>
      </c>
    </row>
    <row r="70" spans="1:10" s="2" customFormat="1" ht="28.5" customHeight="1">
      <c r="A70" s="21" t="s">
        <v>34</v>
      </c>
      <c r="B70" s="2" t="s">
        <v>81</v>
      </c>
      <c r="I70" s="4"/>
      <c r="J70" s="4">
        <v>12000000</v>
      </c>
    </row>
    <row r="71" spans="1:10" s="2" customFormat="1" ht="28.5" customHeight="1">
      <c r="A71" s="21" t="s">
        <v>65</v>
      </c>
      <c r="B71" s="2" t="s">
        <v>91</v>
      </c>
      <c r="I71" s="4"/>
      <c r="J71" s="4">
        <v>5000000</v>
      </c>
    </row>
    <row r="72" spans="1:10" s="2" customFormat="1" ht="28.5" customHeight="1">
      <c r="A72" s="21" t="s">
        <v>131</v>
      </c>
      <c r="B72" s="2" t="s">
        <v>167</v>
      </c>
      <c r="I72" s="4"/>
      <c r="J72" s="4">
        <f>15000000</f>
        <v>15000000</v>
      </c>
    </row>
    <row r="73" spans="1:10" s="2" customFormat="1" ht="28.5" customHeight="1">
      <c r="A73" s="21" t="s">
        <v>49</v>
      </c>
      <c r="B73" s="2" t="s">
        <v>56</v>
      </c>
      <c r="I73" s="4"/>
      <c r="J73" s="4">
        <v>6000000</v>
      </c>
    </row>
    <row r="74" spans="1:10" s="2" customFormat="1" ht="28.5" customHeight="1">
      <c r="A74" s="21" t="s">
        <v>66</v>
      </c>
      <c r="B74" s="2" t="s">
        <v>70</v>
      </c>
      <c r="I74" s="4"/>
      <c r="J74" s="4">
        <v>25000000</v>
      </c>
    </row>
    <row r="75" spans="1:10" s="3" customFormat="1" ht="28.5" customHeight="1">
      <c r="A75" s="8" t="s">
        <v>43</v>
      </c>
      <c r="I75" s="5"/>
      <c r="J75" s="5">
        <f>SUM(J76:J104)</f>
        <v>819542000</v>
      </c>
    </row>
    <row r="76" spans="1:10" s="3" customFormat="1" ht="28.5" customHeight="1">
      <c r="A76" s="21" t="s">
        <v>67</v>
      </c>
      <c r="B76" s="36" t="s">
        <v>197</v>
      </c>
      <c r="C76" s="2"/>
      <c r="D76" s="2"/>
      <c r="E76" s="2"/>
      <c r="F76" s="2"/>
      <c r="G76" s="2"/>
      <c r="H76" s="2"/>
      <c r="I76" s="4"/>
      <c r="J76" s="4">
        <f>2000000*42</f>
        <v>84000000</v>
      </c>
    </row>
    <row r="77" spans="1:10" s="3" customFormat="1" ht="28.5" customHeight="1" hidden="1">
      <c r="A77" s="21"/>
      <c r="B77" s="2" t="s">
        <v>112</v>
      </c>
      <c r="C77" s="2"/>
      <c r="D77" s="2"/>
      <c r="E77" s="2"/>
      <c r="F77" s="2"/>
      <c r="G77" s="2"/>
      <c r="H77" s="2"/>
      <c r="I77" s="4"/>
      <c r="J77" s="4"/>
    </row>
    <row r="78" spans="1:10" s="3" customFormat="1" ht="28.5" customHeight="1" hidden="1">
      <c r="A78" s="21"/>
      <c r="B78" s="2" t="s">
        <v>118</v>
      </c>
      <c r="C78" s="2"/>
      <c r="D78" s="2"/>
      <c r="E78" s="2"/>
      <c r="F78" s="2"/>
      <c r="G78" s="2"/>
      <c r="H78" s="2"/>
      <c r="I78" s="4"/>
      <c r="J78" s="4"/>
    </row>
    <row r="79" spans="1:10" s="3" customFormat="1" ht="28.5" customHeight="1" hidden="1">
      <c r="A79" s="21"/>
      <c r="B79" s="2" t="s">
        <v>113</v>
      </c>
      <c r="C79" s="2"/>
      <c r="D79" s="2"/>
      <c r="E79" s="2"/>
      <c r="F79" s="2"/>
      <c r="G79" s="2"/>
      <c r="H79" s="2"/>
      <c r="I79" s="4"/>
      <c r="J79" s="4"/>
    </row>
    <row r="80" spans="1:10" s="3" customFormat="1" ht="28.5" customHeight="1" hidden="1">
      <c r="A80" s="21"/>
      <c r="B80" s="2" t="s">
        <v>114</v>
      </c>
      <c r="C80" s="2"/>
      <c r="D80" s="2"/>
      <c r="E80" s="2"/>
      <c r="F80" s="2"/>
      <c r="G80" s="2"/>
      <c r="H80" s="2"/>
      <c r="I80" s="4"/>
      <c r="J80" s="4"/>
    </row>
    <row r="81" spans="1:10" s="3" customFormat="1" ht="28.5" customHeight="1" hidden="1">
      <c r="A81" s="21"/>
      <c r="B81" s="2" t="s">
        <v>115</v>
      </c>
      <c r="C81" s="2"/>
      <c r="D81" s="2"/>
      <c r="E81" s="2"/>
      <c r="F81" s="2"/>
      <c r="G81" s="2"/>
      <c r="H81" s="2"/>
      <c r="I81" s="4"/>
      <c r="J81" s="4"/>
    </row>
    <row r="82" spans="1:10" s="3" customFormat="1" ht="28.5" customHeight="1" hidden="1">
      <c r="A82" s="21"/>
      <c r="B82" s="2" t="s">
        <v>116</v>
      </c>
      <c r="C82" s="2"/>
      <c r="D82" s="2"/>
      <c r="E82" s="2"/>
      <c r="F82" s="2"/>
      <c r="G82" s="2"/>
      <c r="H82" s="2"/>
      <c r="I82" s="4"/>
      <c r="J82" s="4"/>
    </row>
    <row r="83" spans="1:10" s="3" customFormat="1" ht="28.5" customHeight="1">
      <c r="A83" s="21"/>
      <c r="B83" s="75" t="s">
        <v>166</v>
      </c>
      <c r="C83" s="73"/>
      <c r="D83" s="73"/>
      <c r="E83" s="73"/>
      <c r="F83" s="73"/>
      <c r="G83" s="73"/>
      <c r="H83" s="73"/>
      <c r="I83" s="73"/>
      <c r="J83" s="4">
        <f>10000000*1</f>
        <v>10000000</v>
      </c>
    </row>
    <row r="84" spans="1:10" s="3" customFormat="1" ht="28.5" customHeight="1" hidden="1">
      <c r="A84" s="21"/>
      <c r="B84" s="2" t="s">
        <v>117</v>
      </c>
      <c r="C84" s="2"/>
      <c r="D84" s="2"/>
      <c r="E84" s="2"/>
      <c r="F84" s="2"/>
      <c r="G84" s="2"/>
      <c r="H84" s="2"/>
      <c r="I84" s="4"/>
      <c r="J84" s="4"/>
    </row>
    <row r="85" spans="1:10" s="3" customFormat="1" ht="38.25" customHeight="1">
      <c r="A85" s="21"/>
      <c r="B85" s="75" t="s">
        <v>186</v>
      </c>
      <c r="C85" s="73"/>
      <c r="D85" s="73"/>
      <c r="E85" s="73"/>
      <c r="F85" s="73"/>
      <c r="G85" s="73"/>
      <c r="H85" s="73"/>
      <c r="I85" s="73"/>
      <c r="J85" s="4">
        <f>2000000*42</f>
        <v>84000000</v>
      </c>
    </row>
    <row r="86" spans="1:10" s="3" customFormat="1" ht="28.5" customHeight="1">
      <c r="A86" s="21">
        <v>7003</v>
      </c>
      <c r="B86" s="36" t="s">
        <v>157</v>
      </c>
      <c r="C86" s="2"/>
      <c r="D86" s="2"/>
      <c r="E86" s="2"/>
      <c r="F86" s="2"/>
      <c r="G86" s="2"/>
      <c r="H86" s="2"/>
      <c r="I86" s="4"/>
      <c r="J86" s="4">
        <v>7000000</v>
      </c>
    </row>
    <row r="87" spans="1:10" s="3" customFormat="1" ht="28.5" customHeight="1">
      <c r="A87" s="21"/>
      <c r="B87" s="36" t="s">
        <v>158</v>
      </c>
      <c r="C87" s="2"/>
      <c r="D87" s="2"/>
      <c r="E87" s="2"/>
      <c r="F87" s="2"/>
      <c r="G87" s="2"/>
      <c r="H87" s="2"/>
      <c r="I87" s="4"/>
      <c r="J87" s="4">
        <v>1800000</v>
      </c>
    </row>
    <row r="88" spans="1:10" s="3" customFormat="1" ht="28.5" customHeight="1">
      <c r="A88" s="21"/>
      <c r="B88" s="36" t="s">
        <v>195</v>
      </c>
      <c r="C88" s="2"/>
      <c r="D88" s="2"/>
      <c r="E88" s="2"/>
      <c r="F88" s="2"/>
      <c r="G88" s="2"/>
      <c r="H88" s="2"/>
      <c r="I88" s="4"/>
      <c r="J88" s="4">
        <f>6000000*2</f>
        <v>12000000</v>
      </c>
    </row>
    <row r="89" spans="1:10" s="3" customFormat="1" ht="28.5" customHeight="1" hidden="1">
      <c r="A89" s="21">
        <v>7004</v>
      </c>
      <c r="B89" s="2" t="s">
        <v>134</v>
      </c>
      <c r="C89" s="2"/>
      <c r="D89" s="2"/>
      <c r="E89" s="2"/>
      <c r="F89" s="2"/>
      <c r="G89" s="2"/>
      <c r="H89" s="2"/>
      <c r="I89" s="4"/>
      <c r="J89" s="4"/>
    </row>
    <row r="90" spans="1:10" s="3" customFormat="1" ht="50.25" customHeight="1">
      <c r="A90" s="21">
        <v>7006</v>
      </c>
      <c r="B90" s="75" t="s">
        <v>196</v>
      </c>
      <c r="C90" s="73"/>
      <c r="D90" s="73"/>
      <c r="E90" s="73"/>
      <c r="F90" s="73"/>
      <c r="G90" s="73"/>
      <c r="H90" s="73"/>
      <c r="I90" s="73"/>
      <c r="J90" s="4">
        <f>1000000*42</f>
        <v>42000000</v>
      </c>
    </row>
    <row r="91" spans="1:10" s="3" customFormat="1" ht="43.5" customHeight="1">
      <c r="A91" s="21" t="s">
        <v>73</v>
      </c>
      <c r="B91" s="36" t="s">
        <v>187</v>
      </c>
      <c r="C91" s="2"/>
      <c r="D91" s="2"/>
      <c r="E91" s="2"/>
      <c r="F91" s="2"/>
      <c r="G91" s="2"/>
      <c r="H91" s="2"/>
      <c r="I91" s="4"/>
      <c r="J91" s="4">
        <f>42*4000000</f>
        <v>168000000</v>
      </c>
    </row>
    <row r="92" spans="1:10" s="3" customFormat="1" ht="28.5" customHeight="1">
      <c r="A92" s="21"/>
      <c r="B92" s="36" t="s">
        <v>188</v>
      </c>
      <c r="C92" s="2"/>
      <c r="D92" s="2"/>
      <c r="E92" s="2"/>
      <c r="F92" s="2"/>
      <c r="G92" s="2"/>
      <c r="H92" s="2"/>
      <c r="I92" s="4"/>
      <c r="J92" s="26">
        <f>15*20000*15+200000</f>
        <v>4700000</v>
      </c>
    </row>
    <row r="93" spans="1:10" s="3" customFormat="1" ht="28.5" customHeight="1">
      <c r="A93" s="21"/>
      <c r="B93" s="36" t="s">
        <v>238</v>
      </c>
      <c r="C93" s="2"/>
      <c r="D93" s="2"/>
      <c r="E93" s="2"/>
      <c r="F93" s="2"/>
      <c r="G93" s="2"/>
      <c r="H93" s="2"/>
      <c r="I93" s="4"/>
      <c r="J93" s="26">
        <f>15*30000*7+200000</f>
        <v>3350000</v>
      </c>
    </row>
    <row r="94" spans="1:10" s="3" customFormat="1" ht="28.5" customHeight="1">
      <c r="A94" s="21"/>
      <c r="B94" s="36" t="s">
        <v>189</v>
      </c>
      <c r="C94" s="2"/>
      <c r="D94" s="2"/>
      <c r="E94" s="2"/>
      <c r="F94" s="2"/>
      <c r="G94" s="2"/>
      <c r="H94" s="2"/>
      <c r="I94" s="4"/>
      <c r="J94" s="4">
        <f>1806*12000</f>
        <v>21672000</v>
      </c>
    </row>
    <row r="95" spans="1:10" s="3" customFormat="1" ht="28.5" customHeight="1">
      <c r="A95" s="21"/>
      <c r="B95" s="36" t="s">
        <v>190</v>
      </c>
      <c r="C95" s="2"/>
      <c r="D95" s="2"/>
      <c r="E95" s="2"/>
      <c r="F95" s="2"/>
      <c r="G95" s="2"/>
      <c r="H95" s="2"/>
      <c r="I95" s="4"/>
      <c r="J95" s="4">
        <f>1806*20000*2</f>
        <v>72240000</v>
      </c>
    </row>
    <row r="96" spans="1:10" s="3" customFormat="1" ht="28.5" customHeight="1">
      <c r="A96" s="21"/>
      <c r="B96" s="36" t="s">
        <v>194</v>
      </c>
      <c r="C96" s="2"/>
      <c r="D96" s="2"/>
      <c r="E96" s="2"/>
      <c r="F96" s="2"/>
      <c r="G96" s="2"/>
      <c r="H96" s="2"/>
      <c r="I96" s="4"/>
      <c r="J96" s="4">
        <f>1806*10000</f>
        <v>18060000</v>
      </c>
    </row>
    <row r="97" spans="1:10" s="3" customFormat="1" ht="28.5" customHeight="1">
      <c r="A97" s="21"/>
      <c r="B97" s="36" t="s">
        <v>191</v>
      </c>
      <c r="C97" s="2"/>
      <c r="D97" s="2"/>
      <c r="E97" s="2"/>
      <c r="F97" s="2"/>
      <c r="G97" s="2"/>
      <c r="H97" s="2"/>
      <c r="I97" s="4"/>
      <c r="J97" s="4">
        <f>470*16000</f>
        <v>7520000</v>
      </c>
    </row>
    <row r="98" spans="1:12" s="3" customFormat="1" ht="28.5" customHeight="1">
      <c r="A98" s="21"/>
      <c r="B98" s="36" t="s">
        <v>192</v>
      </c>
      <c r="C98" s="2"/>
      <c r="D98" s="2"/>
      <c r="E98" s="2"/>
      <c r="F98" s="2"/>
      <c r="G98" s="2"/>
      <c r="H98" s="2"/>
      <c r="I98" s="4"/>
      <c r="J98" s="4">
        <f>1806*5000*10</f>
        <v>90300000</v>
      </c>
      <c r="L98" s="5"/>
    </row>
    <row r="99" spans="1:10" s="3" customFormat="1" ht="75.75" customHeight="1">
      <c r="A99" s="21"/>
      <c r="B99" s="75" t="s">
        <v>235</v>
      </c>
      <c r="C99" s="73"/>
      <c r="D99" s="73"/>
      <c r="E99" s="73"/>
      <c r="F99" s="73"/>
      <c r="G99" s="73"/>
      <c r="H99" s="73"/>
      <c r="I99" s="73"/>
      <c r="J99" s="26">
        <f>50000000-2100000</f>
        <v>47900000</v>
      </c>
    </row>
    <row r="100" spans="1:10" s="3" customFormat="1" ht="56.25" customHeight="1">
      <c r="A100" s="21"/>
      <c r="B100" s="75" t="s">
        <v>156</v>
      </c>
      <c r="C100" s="73"/>
      <c r="D100" s="73"/>
      <c r="E100" s="73"/>
      <c r="F100" s="73"/>
      <c r="G100" s="73"/>
      <c r="H100" s="73"/>
      <c r="I100" s="73"/>
      <c r="J100" s="4">
        <f>40000000</f>
        <v>40000000</v>
      </c>
    </row>
    <row r="101" spans="1:10" s="3" customFormat="1" ht="56.25" customHeight="1">
      <c r="A101" s="21"/>
      <c r="B101" s="75" t="s">
        <v>236</v>
      </c>
      <c r="C101" s="75"/>
      <c r="D101" s="75"/>
      <c r="E101" s="75"/>
      <c r="F101" s="75"/>
      <c r="G101" s="75"/>
      <c r="H101" s="75"/>
      <c r="I101" s="75"/>
      <c r="J101" s="4">
        <v>50000000</v>
      </c>
    </row>
    <row r="102" spans="1:10" s="3" customFormat="1" ht="42" customHeight="1">
      <c r="A102" s="21"/>
      <c r="B102" s="36" t="s">
        <v>155</v>
      </c>
      <c r="C102" s="2"/>
      <c r="D102" s="2"/>
      <c r="E102" s="2"/>
      <c r="F102" s="2"/>
      <c r="G102" s="2"/>
      <c r="H102" s="2"/>
      <c r="I102" s="4"/>
      <c r="J102" s="4">
        <f>20000000</f>
        <v>20000000</v>
      </c>
    </row>
    <row r="103" spans="1:10" s="3" customFormat="1" ht="42" customHeight="1">
      <c r="A103" s="21"/>
      <c r="B103" s="75" t="s">
        <v>237</v>
      </c>
      <c r="C103" s="73"/>
      <c r="D103" s="73"/>
      <c r="E103" s="73"/>
      <c r="F103" s="73"/>
      <c r="G103" s="73"/>
      <c r="H103" s="73"/>
      <c r="I103" s="73"/>
      <c r="J103" s="4">
        <f>20000000</f>
        <v>20000000</v>
      </c>
    </row>
    <row r="104" spans="1:11" s="3" customFormat="1" ht="33.75" customHeight="1">
      <c r="A104" s="21"/>
      <c r="B104" s="36" t="s">
        <v>163</v>
      </c>
      <c r="C104" s="2"/>
      <c r="D104" s="2"/>
      <c r="E104" s="2"/>
      <c r="F104" s="2"/>
      <c r="G104" s="2"/>
      <c r="H104" s="2"/>
      <c r="I104" s="4"/>
      <c r="J104" s="4">
        <f>15000000</f>
        <v>15000000</v>
      </c>
      <c r="K104" s="5"/>
    </row>
    <row r="105" spans="1:10" s="3" customFormat="1" ht="28.5" customHeight="1">
      <c r="A105" s="8" t="s">
        <v>106</v>
      </c>
      <c r="B105" s="2"/>
      <c r="C105" s="2"/>
      <c r="D105" s="2"/>
      <c r="E105" s="2"/>
      <c r="F105" s="2"/>
      <c r="G105" s="2"/>
      <c r="H105" s="2"/>
      <c r="I105" s="4"/>
      <c r="J105" s="5">
        <f>SUM(J106:J107)</f>
        <v>12000000</v>
      </c>
    </row>
    <row r="106" spans="1:10" s="3" customFormat="1" ht="28.5" customHeight="1">
      <c r="A106" s="21" t="s">
        <v>107</v>
      </c>
      <c r="B106" s="2" t="s">
        <v>108</v>
      </c>
      <c r="C106" s="2"/>
      <c r="D106" s="2"/>
      <c r="E106" s="2"/>
      <c r="F106" s="2"/>
      <c r="G106" s="2"/>
      <c r="H106" s="2"/>
      <c r="I106" s="4"/>
      <c r="J106" s="4">
        <v>2000000</v>
      </c>
    </row>
    <row r="107" spans="1:10" s="3" customFormat="1" ht="28.5" customHeight="1">
      <c r="A107" s="21" t="s">
        <v>35</v>
      </c>
      <c r="B107" s="2" t="s">
        <v>109</v>
      </c>
      <c r="C107" s="2"/>
      <c r="D107" s="2"/>
      <c r="E107" s="2"/>
      <c r="F107" s="2"/>
      <c r="G107" s="2"/>
      <c r="H107" s="2"/>
      <c r="I107" s="4"/>
      <c r="J107" s="4">
        <v>10000000</v>
      </c>
    </row>
    <row r="108" spans="1:10" s="3" customFormat="1" ht="28.5" customHeight="1">
      <c r="A108" s="21"/>
      <c r="B108" s="2"/>
      <c r="C108" s="2"/>
      <c r="D108" s="2"/>
      <c r="E108" s="2"/>
      <c r="F108" s="2"/>
      <c r="G108" s="2"/>
      <c r="H108" s="2"/>
      <c r="I108" s="4"/>
      <c r="J108" s="4"/>
    </row>
    <row r="109" spans="1:10" s="3" customFormat="1" ht="28.5" customHeight="1">
      <c r="A109" s="21"/>
      <c r="B109" s="2"/>
      <c r="C109" s="2"/>
      <c r="D109" s="2"/>
      <c r="E109" s="2"/>
      <c r="F109" s="2"/>
      <c r="G109" s="2"/>
      <c r="H109" s="2"/>
      <c r="I109" s="4"/>
      <c r="J109" s="4"/>
    </row>
    <row r="110" spans="1:10" s="3" customFormat="1" ht="28.5" customHeight="1">
      <c r="A110" s="21"/>
      <c r="B110" s="2"/>
      <c r="C110" s="2"/>
      <c r="D110" s="2"/>
      <c r="E110" s="2"/>
      <c r="F110" s="2"/>
      <c r="G110" s="2"/>
      <c r="H110" s="2"/>
      <c r="I110" s="4"/>
      <c r="J110" s="4"/>
    </row>
    <row r="111" spans="1:10" s="9" customFormat="1" ht="28.5" customHeight="1">
      <c r="A111" s="72" t="s">
        <v>36</v>
      </c>
      <c r="B111" s="72"/>
      <c r="C111" s="72"/>
      <c r="D111" s="72"/>
      <c r="E111" s="72"/>
      <c r="F111" s="72"/>
      <c r="G111" s="72"/>
      <c r="H111" s="72"/>
      <c r="I111" s="72"/>
      <c r="J111" s="72"/>
    </row>
    <row r="112" spans="1:10" s="9" customFormat="1" ht="28.5" customHeight="1">
      <c r="A112" s="53"/>
      <c r="B112" s="53"/>
      <c r="C112" s="22" t="s">
        <v>214</v>
      </c>
      <c r="D112" s="53"/>
      <c r="E112" s="53"/>
      <c r="F112" s="53"/>
      <c r="G112" s="53"/>
      <c r="H112" s="53"/>
      <c r="I112" s="53"/>
      <c r="J112" s="24">
        <f>J50</f>
        <v>144000000</v>
      </c>
    </row>
    <row r="113" spans="3:10" s="9" customFormat="1" ht="28.5" customHeight="1">
      <c r="C113" s="22" t="s">
        <v>40</v>
      </c>
      <c r="D113" s="22"/>
      <c r="E113" s="23"/>
      <c r="F113" s="23"/>
      <c r="G113" s="23"/>
      <c r="H113" s="23"/>
      <c r="I113" s="26"/>
      <c r="J113" s="24">
        <f>J59</f>
        <v>18000000</v>
      </c>
    </row>
    <row r="114" spans="3:10" s="9" customFormat="1" ht="28.5" customHeight="1">
      <c r="C114" s="22" t="s">
        <v>41</v>
      </c>
      <c r="D114" s="22"/>
      <c r="E114" s="23"/>
      <c r="F114" s="23"/>
      <c r="G114" s="23"/>
      <c r="H114" s="23"/>
      <c r="I114" s="26"/>
      <c r="J114" s="24">
        <f>J61</f>
        <v>205000000</v>
      </c>
    </row>
    <row r="115" spans="3:10" s="9" customFormat="1" ht="28.5" customHeight="1">
      <c r="C115" s="22" t="s">
        <v>226</v>
      </c>
      <c r="D115" s="22"/>
      <c r="E115" s="23"/>
      <c r="F115" s="23"/>
      <c r="G115" s="23"/>
      <c r="H115" s="23"/>
      <c r="I115" s="26"/>
      <c r="J115" s="24">
        <f>J68</f>
        <v>65000000</v>
      </c>
    </row>
    <row r="116" spans="3:10" s="9" customFormat="1" ht="28.5" customHeight="1">
      <c r="C116" s="22" t="s">
        <v>45</v>
      </c>
      <c r="D116" s="22"/>
      <c r="E116" s="23"/>
      <c r="F116" s="23"/>
      <c r="G116" s="23"/>
      <c r="H116" s="23"/>
      <c r="I116" s="26"/>
      <c r="J116" s="24">
        <f>J75</f>
        <v>819542000</v>
      </c>
    </row>
    <row r="117" spans="3:10" s="9" customFormat="1" ht="28.5" customHeight="1">
      <c r="C117" s="45" t="s">
        <v>110</v>
      </c>
      <c r="D117" s="22"/>
      <c r="E117" s="23"/>
      <c r="F117" s="23"/>
      <c r="G117" s="23"/>
      <c r="H117" s="23"/>
      <c r="I117" s="26"/>
      <c r="J117" s="24">
        <f>J105</f>
        <v>12000000</v>
      </c>
    </row>
    <row r="118" spans="1:12" s="9" customFormat="1" ht="28.5" customHeight="1">
      <c r="A118" s="22"/>
      <c r="E118" s="34" t="s">
        <v>4</v>
      </c>
      <c r="F118" s="34"/>
      <c r="G118" s="31"/>
      <c r="H118" s="31"/>
      <c r="I118" s="32"/>
      <c r="J118" s="33">
        <f>SUM(J112:J117)</f>
        <v>1263542000</v>
      </c>
      <c r="K118" s="26"/>
      <c r="L118" s="26"/>
    </row>
    <row r="119" spans="1:10" s="3" customFormat="1" ht="28.5" customHeight="1">
      <c r="A119" s="8"/>
      <c r="E119" s="34"/>
      <c r="F119" s="34"/>
      <c r="G119" s="34"/>
      <c r="H119" s="34"/>
      <c r="I119" s="32"/>
      <c r="J119" s="41"/>
    </row>
    <row r="120" spans="1:10" s="2" customFormat="1" ht="28.5" customHeight="1" hidden="1">
      <c r="A120" s="3" t="s">
        <v>132</v>
      </c>
      <c r="I120" s="4"/>
      <c r="J120" s="5">
        <f>J121</f>
        <v>0</v>
      </c>
    </row>
    <row r="121" spans="2:10" s="2" customFormat="1" ht="28.5" customHeight="1" hidden="1">
      <c r="B121" s="36" t="s">
        <v>133</v>
      </c>
      <c r="I121" s="4"/>
      <c r="J121" s="4"/>
    </row>
    <row r="122" spans="2:10" s="2" customFormat="1" ht="28.5" customHeight="1" hidden="1">
      <c r="B122" s="36"/>
      <c r="I122" s="4"/>
      <c r="J122" s="4"/>
    </row>
    <row r="123" spans="1:10" s="2" customFormat="1" ht="28.5" customHeight="1">
      <c r="A123" s="54" t="s">
        <v>135</v>
      </c>
      <c r="I123" s="4"/>
      <c r="J123" s="5"/>
    </row>
    <row r="124" spans="2:10" s="2" customFormat="1" ht="28.5" customHeight="1">
      <c r="B124" s="36" t="s">
        <v>227</v>
      </c>
      <c r="G124" s="27"/>
      <c r="H124" s="27"/>
      <c r="I124" s="4"/>
      <c r="J124" s="4">
        <f>J15*3%-37350215</f>
        <v>293159785</v>
      </c>
    </row>
    <row r="125" spans="1:10" s="2" customFormat="1" ht="28.5" customHeight="1" thickBot="1">
      <c r="A125" s="6"/>
      <c r="E125" s="31" t="s">
        <v>4</v>
      </c>
      <c r="F125" s="31"/>
      <c r="G125" s="27"/>
      <c r="H125" s="27"/>
      <c r="I125" s="32"/>
      <c r="J125" s="44">
        <f>SUM(J124:J124)</f>
        <v>293159785</v>
      </c>
    </row>
    <row r="126" spans="1:12" s="2" customFormat="1" ht="28.5" customHeight="1" thickBot="1">
      <c r="A126" s="6"/>
      <c r="B126" s="77" t="s">
        <v>86</v>
      </c>
      <c r="C126" s="78"/>
      <c r="D126" s="78"/>
      <c r="E126" s="78"/>
      <c r="F126" s="78"/>
      <c r="G126" s="79"/>
      <c r="H126" s="48"/>
      <c r="I126" s="32"/>
      <c r="J126" s="55">
        <f>J125+J118+J120+J47</f>
        <v>11017000000.1</v>
      </c>
      <c r="K126" s="4"/>
      <c r="L126" s="4"/>
    </row>
    <row r="127" spans="1:12" s="2" customFormat="1" ht="28.5" customHeight="1">
      <c r="A127" s="6"/>
      <c r="B127" s="65"/>
      <c r="C127" s="65"/>
      <c r="D127" s="65"/>
      <c r="E127" s="65"/>
      <c r="F127" s="65"/>
      <c r="G127" s="65"/>
      <c r="H127" s="48"/>
      <c r="I127" s="32"/>
      <c r="J127" s="66"/>
      <c r="K127" s="4"/>
      <c r="L127" s="4"/>
    </row>
    <row r="128" spans="1:12" s="2" customFormat="1" ht="28.5" customHeight="1">
      <c r="A128" s="6"/>
      <c r="B128" s="65"/>
      <c r="C128" s="65"/>
      <c r="D128" s="65"/>
      <c r="E128" s="65"/>
      <c r="F128" s="65"/>
      <c r="G128" s="65"/>
      <c r="H128" s="48"/>
      <c r="I128" s="32"/>
      <c r="J128" s="66"/>
      <c r="K128" s="4"/>
      <c r="L128" s="4"/>
    </row>
    <row r="129" spans="1:12" s="2" customFormat="1" ht="28.5" customHeight="1">
      <c r="A129" s="6"/>
      <c r="B129" s="65"/>
      <c r="C129" s="65"/>
      <c r="D129" s="65"/>
      <c r="E129" s="65"/>
      <c r="F129" s="65"/>
      <c r="G129" s="65"/>
      <c r="H129" s="48"/>
      <c r="I129" s="32"/>
      <c r="J129" s="66"/>
      <c r="K129" s="4"/>
      <c r="L129" s="4"/>
    </row>
    <row r="130" spans="1:10" s="2" customFormat="1" ht="28.5" customHeight="1">
      <c r="A130" s="6"/>
      <c r="E130" s="31"/>
      <c r="F130" s="31"/>
      <c r="G130" s="27"/>
      <c r="H130" s="27"/>
      <c r="I130" s="32"/>
      <c r="J130" s="49">
        <f>J126-J131</f>
        <v>0.10000038146972656</v>
      </c>
    </row>
    <row r="131" spans="1:10" s="17" customFormat="1" ht="28.5" customHeight="1">
      <c r="A131" s="40" t="s">
        <v>141</v>
      </c>
      <c r="E131" s="27"/>
      <c r="F131" s="27"/>
      <c r="G131" s="37"/>
      <c r="H131" s="37"/>
      <c r="I131" s="28"/>
      <c r="J131" s="47">
        <f>J15</f>
        <v>11017000000</v>
      </c>
    </row>
    <row r="132" spans="1:10" s="17" customFormat="1" ht="45" customHeight="1">
      <c r="A132" s="73" t="s">
        <v>198</v>
      </c>
      <c r="B132" s="73"/>
      <c r="C132" s="73"/>
      <c r="D132" s="73"/>
      <c r="E132" s="73"/>
      <c r="F132" s="73"/>
      <c r="G132" s="73"/>
      <c r="H132" s="73"/>
      <c r="I132" s="73"/>
      <c r="J132" s="73"/>
    </row>
    <row r="133" spans="1:10" s="17" customFormat="1" ht="28.5" customHeight="1">
      <c r="A133" s="74" t="s">
        <v>88</v>
      </c>
      <c r="B133" s="74"/>
      <c r="C133" s="74"/>
      <c r="D133" s="42"/>
      <c r="E133" s="42"/>
      <c r="F133" s="42"/>
      <c r="G133" s="42"/>
      <c r="H133" s="42"/>
      <c r="I133" s="42"/>
      <c r="J133" s="42"/>
    </row>
    <row r="134" spans="1:10" s="17" customFormat="1" ht="28.5" customHeight="1">
      <c r="A134" s="20"/>
      <c r="B134" s="6" t="s">
        <v>149</v>
      </c>
      <c r="C134" s="2"/>
      <c r="D134" s="2"/>
      <c r="E134" s="2"/>
      <c r="F134" s="2"/>
      <c r="G134" s="2"/>
      <c r="H134" s="2"/>
      <c r="I134" s="4"/>
      <c r="J134" s="5">
        <f>J13*0.4</f>
        <v>437600000</v>
      </c>
    </row>
    <row r="135" spans="1:10" s="2" customFormat="1" ht="28.5" customHeight="1">
      <c r="A135" s="54" t="s">
        <v>3</v>
      </c>
      <c r="I135" s="4"/>
      <c r="J135" s="5"/>
    </row>
    <row r="136" spans="1:10" s="2" customFormat="1" ht="28.5" customHeight="1">
      <c r="A136" s="8" t="s">
        <v>20</v>
      </c>
      <c r="I136" s="4"/>
      <c r="J136" s="5">
        <f>SUM(J137:J137)</f>
        <v>55200000</v>
      </c>
    </row>
    <row r="137" spans="1:10" s="2" customFormat="1" ht="28.5" customHeight="1">
      <c r="A137" s="20">
        <v>6257</v>
      </c>
      <c r="B137" s="6" t="s">
        <v>199</v>
      </c>
      <c r="I137" s="4"/>
      <c r="J137" s="4">
        <f>92*50000*12</f>
        <v>55200000</v>
      </c>
    </row>
    <row r="138" spans="1:10" s="3" customFormat="1" ht="28.5" customHeight="1">
      <c r="A138" s="8" t="s">
        <v>21</v>
      </c>
      <c r="G138" s="5"/>
      <c r="H138" s="5"/>
      <c r="I138" s="5"/>
      <c r="J138" s="5">
        <f>SUM(J139:J140)</f>
        <v>18000000</v>
      </c>
    </row>
    <row r="139" spans="1:10" s="2" customFormat="1" ht="28.5" customHeight="1">
      <c r="A139" s="21" t="s">
        <v>211</v>
      </c>
      <c r="B139" s="2" t="s">
        <v>212</v>
      </c>
      <c r="I139" s="4"/>
      <c r="J139" s="4">
        <f>1000000*12</f>
        <v>12000000</v>
      </c>
    </row>
    <row r="140" spans="1:10" s="2" customFormat="1" ht="28.5" customHeight="1">
      <c r="A140" s="21" t="s">
        <v>83</v>
      </c>
      <c r="B140" s="2" t="s">
        <v>150</v>
      </c>
      <c r="I140" s="4"/>
      <c r="J140" s="4">
        <f>500000*12</f>
        <v>6000000</v>
      </c>
    </row>
    <row r="141" spans="1:10" s="2" customFormat="1" ht="28.5" customHeight="1">
      <c r="A141" s="8" t="s">
        <v>42</v>
      </c>
      <c r="I141" s="4"/>
      <c r="J141" s="5">
        <f>SUM(J142:J146)</f>
        <v>188200000</v>
      </c>
    </row>
    <row r="142" spans="1:10" s="2" customFormat="1" ht="28.5" customHeight="1">
      <c r="A142" s="21" t="s">
        <v>47</v>
      </c>
      <c r="B142" s="2" t="s">
        <v>200</v>
      </c>
      <c r="I142" s="4"/>
      <c r="J142" s="4">
        <f>500000*2*42</f>
        <v>42000000</v>
      </c>
    </row>
    <row r="143" spans="1:10" s="2" customFormat="1" ht="28.5" customHeight="1">
      <c r="A143" s="21" t="s">
        <v>61</v>
      </c>
      <c r="B143" s="2" t="s">
        <v>201</v>
      </c>
      <c r="I143" s="4"/>
      <c r="J143" s="4">
        <f>500000*2*42</f>
        <v>42000000</v>
      </c>
    </row>
    <row r="144" spans="1:10" s="2" customFormat="1" ht="28.5" customHeight="1">
      <c r="A144" s="21" t="s">
        <v>61</v>
      </c>
      <c r="B144" s="2" t="s">
        <v>152</v>
      </c>
      <c r="I144" s="4"/>
      <c r="J144" s="4">
        <f>1000000*10</f>
        <v>10000000</v>
      </c>
    </row>
    <row r="145" spans="1:10" s="2" customFormat="1" ht="28.5" customHeight="1">
      <c r="A145" s="21" t="s">
        <v>62</v>
      </c>
      <c r="B145" s="2" t="s">
        <v>202</v>
      </c>
      <c r="I145" s="4"/>
      <c r="J145" s="4">
        <f>50000*87*12</f>
        <v>52200000</v>
      </c>
    </row>
    <row r="146" spans="1:10" s="2" customFormat="1" ht="39" customHeight="1">
      <c r="A146" s="21" t="s">
        <v>63</v>
      </c>
      <c r="B146" s="73" t="s">
        <v>162</v>
      </c>
      <c r="C146" s="83"/>
      <c r="D146" s="83"/>
      <c r="E146" s="83"/>
      <c r="F146" s="83"/>
      <c r="G146" s="83"/>
      <c r="H146" s="83"/>
      <c r="I146" s="83"/>
      <c r="J146" s="4">
        <v>42000000</v>
      </c>
    </row>
    <row r="147" spans="1:10" s="3" customFormat="1" ht="28.5" customHeight="1">
      <c r="A147" s="8" t="s">
        <v>25</v>
      </c>
      <c r="I147" s="5"/>
      <c r="J147" s="5">
        <f>SUM(J148:J150)</f>
        <v>34400000</v>
      </c>
    </row>
    <row r="148" spans="1:10" s="2" customFormat="1" ht="28.5" customHeight="1">
      <c r="A148" s="21" t="s">
        <v>31</v>
      </c>
      <c r="B148" s="2" t="s">
        <v>203</v>
      </c>
      <c r="I148" s="4"/>
      <c r="J148" s="4">
        <f>750000*2*12</f>
        <v>18000000</v>
      </c>
    </row>
    <row r="149" spans="1:10" s="2" customFormat="1" ht="28.5" customHeight="1">
      <c r="A149" s="21" t="s">
        <v>32</v>
      </c>
      <c r="B149" s="2" t="s">
        <v>126</v>
      </c>
      <c r="I149" s="4"/>
      <c r="J149" s="4">
        <f>2000000*4</f>
        <v>8000000</v>
      </c>
    </row>
    <row r="150" spans="1:10" s="2" customFormat="1" ht="28.5" customHeight="1">
      <c r="A150" s="21" t="s">
        <v>64</v>
      </c>
      <c r="B150" s="2" t="s">
        <v>136</v>
      </c>
      <c r="I150" s="4"/>
      <c r="J150" s="4">
        <f>700000*12</f>
        <v>8400000</v>
      </c>
    </row>
    <row r="151" spans="1:10" s="3" customFormat="1" ht="28.5" customHeight="1">
      <c r="A151" s="8" t="s">
        <v>22</v>
      </c>
      <c r="I151" s="5"/>
      <c r="J151" s="5">
        <f>J152</f>
        <v>20000000</v>
      </c>
    </row>
    <row r="152" spans="1:10" s="3" customFormat="1" ht="28.5" customHeight="1">
      <c r="A152" s="21" t="s">
        <v>48</v>
      </c>
      <c r="B152" s="73" t="s">
        <v>78</v>
      </c>
      <c r="C152" s="73"/>
      <c r="D152" s="73"/>
      <c r="E152" s="73"/>
      <c r="F152" s="73"/>
      <c r="G152" s="73"/>
      <c r="H152" s="73"/>
      <c r="I152" s="73"/>
      <c r="J152" s="4">
        <v>20000000</v>
      </c>
    </row>
    <row r="153" spans="1:10" s="3" customFormat="1" ht="28.5" customHeight="1">
      <c r="A153" s="8" t="s">
        <v>23</v>
      </c>
      <c r="B153" s="42"/>
      <c r="C153" s="42"/>
      <c r="D153" s="42"/>
      <c r="E153" s="42"/>
      <c r="F153" s="42"/>
      <c r="G153" s="42"/>
      <c r="H153" s="42"/>
      <c r="I153" s="42"/>
      <c r="J153" s="5">
        <f>J154</f>
        <v>20000000</v>
      </c>
    </row>
    <row r="154" spans="1:10" s="3" customFormat="1" ht="28.5" customHeight="1">
      <c r="A154" s="21" t="s">
        <v>79</v>
      </c>
      <c r="B154" s="73" t="s">
        <v>218</v>
      </c>
      <c r="C154" s="73"/>
      <c r="D154" s="73"/>
      <c r="E154" s="73"/>
      <c r="F154" s="73"/>
      <c r="G154" s="73"/>
      <c r="H154" s="73"/>
      <c r="I154" s="73"/>
      <c r="J154" s="4">
        <v>20000000</v>
      </c>
    </row>
    <row r="155" spans="1:10" s="3" customFormat="1" ht="28.5" customHeight="1">
      <c r="A155" s="8" t="s">
        <v>24</v>
      </c>
      <c r="I155" s="5"/>
      <c r="J155" s="5">
        <f>SUM(J156:J157)</f>
        <v>43050000</v>
      </c>
    </row>
    <row r="156" spans="1:10" s="2" customFormat="1" ht="28.5" customHeight="1">
      <c r="A156" s="21" t="s">
        <v>33</v>
      </c>
      <c r="B156" s="2" t="s">
        <v>57</v>
      </c>
      <c r="I156" s="4"/>
      <c r="J156" s="4">
        <f>2000000-950000</f>
        <v>1050000</v>
      </c>
    </row>
    <row r="157" spans="1:10" s="2" customFormat="1" ht="28.5" customHeight="1">
      <c r="A157" s="21" t="s">
        <v>33</v>
      </c>
      <c r="B157" s="2" t="s">
        <v>219</v>
      </c>
      <c r="I157" s="4"/>
      <c r="J157" s="4">
        <f>42*1000000</f>
        <v>42000000</v>
      </c>
    </row>
    <row r="158" spans="1:10" s="3" customFormat="1" ht="28.5" customHeight="1">
      <c r="A158" s="8" t="s">
        <v>43</v>
      </c>
      <c r="I158" s="5"/>
      <c r="J158" s="5">
        <f>SUM(J159:J161)</f>
        <v>222850000</v>
      </c>
    </row>
    <row r="159" spans="1:10" s="3" customFormat="1" ht="28.5" customHeight="1" hidden="1">
      <c r="A159" s="21" t="s">
        <v>67</v>
      </c>
      <c r="B159" s="2" t="s">
        <v>69</v>
      </c>
      <c r="C159" s="2"/>
      <c r="D159" s="2"/>
      <c r="E159" s="2"/>
      <c r="F159" s="2"/>
      <c r="G159" s="2"/>
      <c r="H159" s="2"/>
      <c r="I159" s="4"/>
      <c r="J159" s="4"/>
    </row>
    <row r="160" spans="1:10" s="3" customFormat="1" ht="28.5" customHeight="1" hidden="1">
      <c r="A160" s="21" t="s">
        <v>51</v>
      </c>
      <c r="B160" s="2" t="s">
        <v>58</v>
      </c>
      <c r="C160" s="2"/>
      <c r="D160" s="2"/>
      <c r="E160" s="2"/>
      <c r="F160" s="2"/>
      <c r="G160" s="2"/>
      <c r="H160" s="2"/>
      <c r="I160" s="4"/>
      <c r="J160" s="4"/>
    </row>
    <row r="161" spans="1:10" s="3" customFormat="1" ht="28.5" customHeight="1">
      <c r="A161" s="21" t="s">
        <v>73</v>
      </c>
      <c r="B161" s="2" t="s">
        <v>137</v>
      </c>
      <c r="C161" s="2"/>
      <c r="D161" s="2"/>
      <c r="E161" s="2"/>
      <c r="F161" s="2"/>
      <c r="G161" s="2"/>
      <c r="H161" s="2"/>
      <c r="I161" s="4"/>
      <c r="J161" s="4">
        <f>116850000+106000000</f>
        <v>222850000</v>
      </c>
    </row>
    <row r="162" spans="1:10" s="3" customFormat="1" ht="28.5" customHeight="1">
      <c r="A162" s="8" t="s">
        <v>94</v>
      </c>
      <c r="I162" s="5"/>
      <c r="J162" s="5">
        <f>J163</f>
        <v>54700000</v>
      </c>
    </row>
    <row r="163" spans="1:10" s="3" customFormat="1" ht="28.5" customHeight="1">
      <c r="A163" s="21" t="s">
        <v>35</v>
      </c>
      <c r="B163" s="2" t="s">
        <v>130</v>
      </c>
      <c r="C163" s="2"/>
      <c r="D163" s="2"/>
      <c r="E163" s="2"/>
      <c r="F163" s="2"/>
      <c r="G163" s="2"/>
      <c r="H163" s="2"/>
      <c r="I163" s="4"/>
      <c r="J163" s="4">
        <f>J13*5%</f>
        <v>54700000</v>
      </c>
    </row>
    <row r="164" spans="1:10" s="9" customFormat="1" ht="28.5" customHeight="1">
      <c r="A164" s="72" t="s">
        <v>36</v>
      </c>
      <c r="B164" s="72"/>
      <c r="C164" s="72"/>
      <c r="D164" s="72"/>
      <c r="E164" s="72"/>
      <c r="F164" s="72"/>
      <c r="G164" s="72"/>
      <c r="H164" s="72"/>
      <c r="I164" s="72"/>
      <c r="J164" s="72"/>
    </row>
    <row r="165" spans="1:10" s="9" customFormat="1" ht="28.5" customHeight="1">
      <c r="A165" s="53"/>
      <c r="B165" s="53"/>
      <c r="C165" s="22" t="s">
        <v>89</v>
      </c>
      <c r="D165" s="53"/>
      <c r="E165" s="53"/>
      <c r="F165" s="53"/>
      <c r="G165" s="53"/>
      <c r="H165" s="53"/>
      <c r="I165" s="53"/>
      <c r="J165" s="24">
        <f>J136</f>
        <v>55200000</v>
      </c>
    </row>
    <row r="166" spans="3:10" s="9" customFormat="1" ht="28.5" customHeight="1">
      <c r="C166" s="22" t="s">
        <v>37</v>
      </c>
      <c r="D166" s="22"/>
      <c r="E166" s="23"/>
      <c r="F166" s="23"/>
      <c r="G166" s="23"/>
      <c r="H166" s="23"/>
      <c r="I166" s="26"/>
      <c r="J166" s="24">
        <f>J138</f>
        <v>18000000</v>
      </c>
    </row>
    <row r="167" spans="3:10" s="9" customFormat="1" ht="28.5" customHeight="1">
      <c r="C167" s="22" t="s">
        <v>54</v>
      </c>
      <c r="D167" s="22"/>
      <c r="E167" s="23"/>
      <c r="F167" s="23"/>
      <c r="G167" s="23"/>
      <c r="H167" s="23"/>
      <c r="I167" s="26"/>
      <c r="J167" s="24">
        <f>J141</f>
        <v>188200000</v>
      </c>
    </row>
    <row r="168" spans="3:10" s="9" customFormat="1" ht="28.5" customHeight="1">
      <c r="C168" s="22" t="s">
        <v>38</v>
      </c>
      <c r="D168" s="22"/>
      <c r="E168" s="23"/>
      <c r="F168" s="23"/>
      <c r="G168" s="23"/>
      <c r="H168" s="23"/>
      <c r="I168" s="26"/>
      <c r="J168" s="24">
        <f>J147</f>
        <v>34400000</v>
      </c>
    </row>
    <row r="169" spans="3:10" s="9" customFormat="1" ht="28.5" customHeight="1">
      <c r="C169" s="22" t="s">
        <v>39</v>
      </c>
      <c r="D169" s="22"/>
      <c r="E169" s="23"/>
      <c r="F169" s="23"/>
      <c r="G169" s="23"/>
      <c r="H169" s="23"/>
      <c r="I169" s="26"/>
      <c r="J169" s="24">
        <f>J151</f>
        <v>20000000</v>
      </c>
    </row>
    <row r="170" spans="3:10" s="9" customFormat="1" ht="28.5" customHeight="1">
      <c r="C170" s="22" t="s">
        <v>140</v>
      </c>
      <c r="D170" s="22"/>
      <c r="E170" s="23"/>
      <c r="F170" s="23"/>
      <c r="G170" s="23"/>
      <c r="H170" s="23"/>
      <c r="I170" s="26"/>
      <c r="J170" s="24">
        <f>J153</f>
        <v>20000000</v>
      </c>
    </row>
    <row r="171" spans="3:10" s="9" customFormat="1" ht="28.5" customHeight="1">
      <c r="C171" s="22" t="s">
        <v>41</v>
      </c>
      <c r="D171" s="22"/>
      <c r="E171" s="23"/>
      <c r="F171" s="23"/>
      <c r="G171" s="23"/>
      <c r="H171" s="23"/>
      <c r="I171" s="26"/>
      <c r="J171" s="24">
        <f>J155</f>
        <v>43050000</v>
      </c>
    </row>
    <row r="172" spans="3:10" s="9" customFormat="1" ht="28.5" customHeight="1">
      <c r="C172" s="22" t="s">
        <v>45</v>
      </c>
      <c r="D172" s="22"/>
      <c r="E172" s="23"/>
      <c r="F172" s="23"/>
      <c r="G172" s="23"/>
      <c r="H172" s="56"/>
      <c r="I172" s="26"/>
      <c r="J172" s="24">
        <f>J158</f>
        <v>222850000</v>
      </c>
    </row>
    <row r="173" spans="3:10" s="9" customFormat="1" ht="28.5" customHeight="1">
      <c r="C173" s="22" t="s">
        <v>95</v>
      </c>
      <c r="D173" s="22"/>
      <c r="E173" s="23"/>
      <c r="F173" s="23"/>
      <c r="G173" s="23"/>
      <c r="H173" s="23"/>
      <c r="I173" s="26"/>
      <c r="J173" s="24">
        <f>J162</f>
        <v>54700000</v>
      </c>
    </row>
    <row r="174" spans="1:10" s="9" customFormat="1" ht="28.5" customHeight="1">
      <c r="A174" s="22"/>
      <c r="E174" s="34" t="s">
        <v>4</v>
      </c>
      <c r="F174" s="34"/>
      <c r="G174" s="31"/>
      <c r="H174" s="31"/>
      <c r="I174" s="32"/>
      <c r="J174" s="33">
        <f>SUM(J165:J173)</f>
        <v>656400000</v>
      </c>
    </row>
    <row r="175" spans="1:10" s="9" customFormat="1" ht="28.5" customHeight="1" thickBot="1">
      <c r="A175" s="22"/>
      <c r="E175" s="34"/>
      <c r="F175" s="34"/>
      <c r="G175" s="31"/>
      <c r="H175" s="31"/>
      <c r="I175" s="32"/>
      <c r="J175" s="41"/>
    </row>
    <row r="176" spans="1:11" s="9" customFormat="1" ht="28.5" customHeight="1" thickBot="1">
      <c r="A176" s="22"/>
      <c r="B176" s="80" t="s">
        <v>87</v>
      </c>
      <c r="C176" s="81"/>
      <c r="D176" s="81"/>
      <c r="E176" s="81"/>
      <c r="F176" s="81"/>
      <c r="G176" s="82"/>
      <c r="H176" s="57"/>
      <c r="I176" s="32"/>
      <c r="J176" s="55">
        <f>J174+J134</f>
        <v>1094000000</v>
      </c>
      <c r="K176" s="26"/>
    </row>
    <row r="177" spans="1:11" s="9" customFormat="1" ht="28.5" customHeight="1">
      <c r="A177" s="22"/>
      <c r="B177" s="67"/>
      <c r="C177" s="67"/>
      <c r="D177" s="67"/>
      <c r="E177" s="67"/>
      <c r="F177" s="67"/>
      <c r="G177" s="67"/>
      <c r="H177" s="57"/>
      <c r="I177" s="32"/>
      <c r="J177" s="66"/>
      <c r="K177" s="26"/>
    </row>
    <row r="178" spans="1:11" s="9" customFormat="1" ht="28.5" customHeight="1">
      <c r="A178" s="22"/>
      <c r="B178" s="67"/>
      <c r="C178" s="67"/>
      <c r="D178" s="67"/>
      <c r="E178" s="67"/>
      <c r="F178" s="67"/>
      <c r="G178" s="67"/>
      <c r="H178" s="57"/>
      <c r="I178" s="32"/>
      <c r="J178" s="66"/>
      <c r="K178" s="26"/>
    </row>
    <row r="179" spans="1:11" s="9" customFormat="1" ht="28.5" customHeight="1">
      <c r="A179" s="22"/>
      <c r="B179" s="67"/>
      <c r="C179" s="67"/>
      <c r="D179" s="67"/>
      <c r="E179" s="67"/>
      <c r="F179" s="67"/>
      <c r="G179" s="67"/>
      <c r="H179" s="57"/>
      <c r="I179" s="32"/>
      <c r="J179" s="66"/>
      <c r="K179" s="26"/>
    </row>
    <row r="180" spans="1:11" s="9" customFormat="1" ht="28.5" customHeight="1">
      <c r="A180" s="22"/>
      <c r="B180" s="67"/>
      <c r="C180" s="67"/>
      <c r="D180" s="67"/>
      <c r="E180" s="67"/>
      <c r="F180" s="67"/>
      <c r="G180" s="67"/>
      <c r="H180" s="57"/>
      <c r="I180" s="32"/>
      <c r="J180" s="66"/>
      <c r="K180" s="26"/>
    </row>
    <row r="181" spans="1:11" s="9" customFormat="1" ht="28.5" customHeight="1">
      <c r="A181" s="22"/>
      <c r="B181" s="67"/>
      <c r="C181" s="67"/>
      <c r="D181" s="67"/>
      <c r="E181" s="67"/>
      <c r="F181" s="67"/>
      <c r="G181" s="67"/>
      <c r="H181" s="57"/>
      <c r="I181" s="32"/>
      <c r="J181" s="66"/>
      <c r="K181" s="26"/>
    </row>
    <row r="182" spans="1:11" s="9" customFormat="1" ht="28.5" customHeight="1">
      <c r="A182" s="22"/>
      <c r="B182" s="67"/>
      <c r="C182" s="67"/>
      <c r="D182" s="67"/>
      <c r="E182" s="67"/>
      <c r="F182" s="67"/>
      <c r="G182" s="67"/>
      <c r="H182" s="57"/>
      <c r="I182" s="32"/>
      <c r="J182" s="66"/>
      <c r="K182" s="26"/>
    </row>
    <row r="183" spans="1:10" s="17" customFormat="1" ht="28.5" customHeight="1">
      <c r="A183" s="40" t="s">
        <v>142</v>
      </c>
      <c r="E183" s="27"/>
      <c r="F183" s="27"/>
      <c r="G183" s="37"/>
      <c r="H183" s="37"/>
      <c r="I183" s="28"/>
      <c r="J183" s="46" t="e">
        <f>J176-#REF!</f>
        <v>#REF!</v>
      </c>
    </row>
    <row r="184" spans="1:10" s="17" customFormat="1" ht="41.25" customHeight="1">
      <c r="A184" s="73" t="s">
        <v>204</v>
      </c>
      <c r="B184" s="73"/>
      <c r="C184" s="73"/>
      <c r="D184" s="73"/>
      <c r="E184" s="73"/>
      <c r="F184" s="73"/>
      <c r="G184" s="73"/>
      <c r="H184" s="73"/>
      <c r="I184" s="73"/>
      <c r="J184" s="73"/>
    </row>
    <row r="185" spans="1:10" s="17" customFormat="1" ht="28.5" customHeight="1">
      <c r="A185" s="74" t="s">
        <v>88</v>
      </c>
      <c r="B185" s="74"/>
      <c r="C185" s="74"/>
      <c r="D185" s="42"/>
      <c r="E185" s="42"/>
      <c r="F185" s="42"/>
      <c r="G185" s="42"/>
      <c r="H185" s="42"/>
      <c r="I185" s="42"/>
      <c r="J185" s="42"/>
    </row>
    <row r="186" spans="1:10" s="17" customFormat="1" ht="28.5" customHeight="1">
      <c r="A186" s="20"/>
      <c r="B186" s="6" t="s">
        <v>149</v>
      </c>
      <c r="C186" s="2"/>
      <c r="D186" s="2"/>
      <c r="E186" s="2"/>
      <c r="F186" s="2"/>
      <c r="G186" s="2"/>
      <c r="H186" s="2"/>
      <c r="I186" s="4"/>
      <c r="J186" s="5">
        <f>117000000*0.4</f>
        <v>46800000</v>
      </c>
    </row>
    <row r="187" spans="1:10" s="17" customFormat="1" ht="28.5" customHeight="1">
      <c r="A187" s="54" t="s">
        <v>97</v>
      </c>
      <c r="B187" s="2"/>
      <c r="C187" s="2"/>
      <c r="D187" s="2"/>
      <c r="E187" s="2"/>
      <c r="F187" s="2"/>
      <c r="G187" s="2"/>
      <c r="H187" s="2"/>
      <c r="I187" s="4"/>
      <c r="J187" s="5">
        <f>J188+J193</f>
        <v>70200000</v>
      </c>
    </row>
    <row r="188" spans="1:12" s="17" customFormat="1" ht="28.5" customHeight="1">
      <c r="A188" s="54"/>
      <c r="B188" s="2" t="s">
        <v>121</v>
      </c>
      <c r="C188" s="2"/>
      <c r="D188" s="2"/>
      <c r="E188" s="2"/>
      <c r="F188" s="2"/>
      <c r="G188" s="2"/>
      <c r="H188" s="2"/>
      <c r="I188" s="50">
        <f>45000000*20%</f>
        <v>9000000</v>
      </c>
      <c r="J188" s="5">
        <f>SUM(J189:J192)</f>
        <v>23400000</v>
      </c>
      <c r="L188" s="19"/>
    </row>
    <row r="189" spans="1:10" s="17" customFormat="1" ht="28.5" customHeight="1">
      <c r="A189" s="54"/>
      <c r="B189" s="36" t="s">
        <v>122</v>
      </c>
      <c r="C189" s="2"/>
      <c r="D189" s="2"/>
      <c r="E189" s="2"/>
      <c r="F189" s="2"/>
      <c r="G189" s="2"/>
      <c r="H189" s="2"/>
      <c r="I189" s="4"/>
      <c r="J189" s="4">
        <v>4000000</v>
      </c>
    </row>
    <row r="190" spans="1:10" s="17" customFormat="1" ht="28.5" customHeight="1">
      <c r="A190" s="54"/>
      <c r="B190" s="36" t="s">
        <v>123</v>
      </c>
      <c r="C190" s="2"/>
      <c r="D190" s="2"/>
      <c r="E190" s="2"/>
      <c r="F190" s="2"/>
      <c r="G190" s="2"/>
      <c r="H190" s="2"/>
      <c r="I190" s="4"/>
      <c r="J190" s="4">
        <v>4000000</v>
      </c>
    </row>
    <row r="191" spans="1:10" s="17" customFormat="1" ht="28.5" customHeight="1">
      <c r="A191" s="54"/>
      <c r="B191" s="36" t="s">
        <v>205</v>
      </c>
      <c r="C191" s="2"/>
      <c r="D191" s="2"/>
      <c r="E191" s="2"/>
      <c r="F191" s="2"/>
      <c r="G191" s="2"/>
      <c r="H191" s="2"/>
      <c r="I191" s="4"/>
      <c r="J191" s="4">
        <f>300000*5</f>
        <v>1500000</v>
      </c>
    </row>
    <row r="192" spans="1:10" s="17" customFormat="1" ht="28.5" customHeight="1">
      <c r="A192" s="54"/>
      <c r="B192" s="36" t="s">
        <v>206</v>
      </c>
      <c r="C192" s="2"/>
      <c r="D192" s="2"/>
      <c r="E192" s="2"/>
      <c r="F192" s="2"/>
      <c r="G192" s="2"/>
      <c r="H192" s="2"/>
      <c r="I192" s="4"/>
      <c r="J192" s="4">
        <v>13900000</v>
      </c>
    </row>
    <row r="193" spans="1:12" s="17" customFormat="1" ht="28.5" customHeight="1">
      <c r="A193" s="54"/>
      <c r="B193" s="2" t="s">
        <v>124</v>
      </c>
      <c r="C193" s="2"/>
      <c r="D193" s="2"/>
      <c r="E193" s="2"/>
      <c r="F193" s="2"/>
      <c r="G193" s="2"/>
      <c r="H193" s="2"/>
      <c r="I193" s="50">
        <f>45000000*40%</f>
        <v>18000000</v>
      </c>
      <c r="J193" s="5">
        <f>SUM(J194:J197)</f>
        <v>46800000</v>
      </c>
      <c r="L193" s="19"/>
    </row>
    <row r="194" spans="1:10" s="17" customFormat="1" ht="28.5" customHeight="1">
      <c r="A194" s="54"/>
      <c r="B194" s="36" t="s">
        <v>153</v>
      </c>
      <c r="C194" s="2"/>
      <c r="D194" s="2"/>
      <c r="E194" s="2"/>
      <c r="F194" s="2"/>
      <c r="G194" s="2"/>
      <c r="H194" s="2"/>
      <c r="I194" s="4"/>
      <c r="J194" s="4">
        <f>500000*5</f>
        <v>2500000</v>
      </c>
    </row>
    <row r="195" spans="1:10" s="17" customFormat="1" ht="28.5" customHeight="1">
      <c r="A195" s="54"/>
      <c r="B195" s="36" t="s">
        <v>125</v>
      </c>
      <c r="C195" s="2"/>
      <c r="D195" s="2"/>
      <c r="E195" s="2"/>
      <c r="F195" s="2"/>
      <c r="G195" s="2"/>
      <c r="H195" s="2"/>
      <c r="I195" s="4"/>
      <c r="J195" s="4">
        <v>1500000</v>
      </c>
    </row>
    <row r="196" spans="1:10" s="17" customFormat="1" ht="28.5" customHeight="1">
      <c r="A196" s="54"/>
      <c r="B196" s="36" t="s">
        <v>207</v>
      </c>
      <c r="C196" s="2"/>
      <c r="D196" s="2"/>
      <c r="E196" s="2"/>
      <c r="F196" s="2"/>
      <c r="G196" s="2"/>
      <c r="H196" s="2"/>
      <c r="I196" s="4"/>
      <c r="J196" s="4">
        <f>500000*5</f>
        <v>2500000</v>
      </c>
    </row>
    <row r="197" spans="1:10" s="17" customFormat="1" ht="28.5" customHeight="1" thickBot="1">
      <c r="A197" s="54"/>
      <c r="B197" s="36" t="s">
        <v>208</v>
      </c>
      <c r="C197" s="2"/>
      <c r="D197" s="2"/>
      <c r="E197" s="2"/>
      <c r="F197" s="2"/>
      <c r="G197" s="2"/>
      <c r="H197" s="2"/>
      <c r="I197" s="4"/>
      <c r="J197" s="4">
        <v>40300000</v>
      </c>
    </row>
    <row r="198" spans="1:10" s="17" customFormat="1" ht="28.5" customHeight="1" thickBot="1">
      <c r="A198" s="77" t="s">
        <v>98</v>
      </c>
      <c r="B198" s="78"/>
      <c r="C198" s="78"/>
      <c r="D198" s="78"/>
      <c r="E198" s="78"/>
      <c r="F198" s="78"/>
      <c r="G198" s="79"/>
      <c r="H198" s="48"/>
      <c r="I198" s="4"/>
      <c r="J198" s="58">
        <f>J186+J187</f>
        <v>117000000</v>
      </c>
    </row>
    <row r="199" spans="1:10" s="17" customFormat="1" ht="28.5" customHeight="1">
      <c r="A199" s="65"/>
      <c r="B199" s="65"/>
      <c r="C199" s="65"/>
      <c r="D199" s="65"/>
      <c r="E199" s="65"/>
      <c r="F199" s="65"/>
      <c r="G199" s="65"/>
      <c r="H199" s="48"/>
      <c r="I199" s="4"/>
      <c r="J199" s="68"/>
    </row>
    <row r="200" spans="1:10" s="17" customFormat="1" ht="28.5" customHeight="1">
      <c r="A200" s="65"/>
      <c r="B200" s="65"/>
      <c r="C200" s="65"/>
      <c r="D200" s="65"/>
      <c r="E200" s="65"/>
      <c r="F200" s="65"/>
      <c r="G200" s="65"/>
      <c r="H200" s="48"/>
      <c r="I200" s="4"/>
      <c r="J200" s="68"/>
    </row>
    <row r="201" spans="1:10" s="17" customFormat="1" ht="28.5" customHeight="1">
      <c r="A201" s="65"/>
      <c r="B201" s="65"/>
      <c r="C201" s="65"/>
      <c r="D201" s="65"/>
      <c r="E201" s="65"/>
      <c r="F201" s="65"/>
      <c r="G201" s="65"/>
      <c r="H201" s="48"/>
      <c r="I201" s="4"/>
      <c r="J201" s="68"/>
    </row>
    <row r="202" spans="1:10" s="17" customFormat="1" ht="28.5" customHeight="1">
      <c r="A202" s="65"/>
      <c r="B202" s="65"/>
      <c r="C202" s="65"/>
      <c r="D202" s="65"/>
      <c r="E202" s="65"/>
      <c r="F202" s="65"/>
      <c r="G202" s="65"/>
      <c r="H202" s="48"/>
      <c r="I202" s="4"/>
      <c r="J202" s="68"/>
    </row>
    <row r="203" spans="1:10" s="17" customFormat="1" ht="28.5" customHeight="1">
      <c r="A203" s="65"/>
      <c r="B203" s="65"/>
      <c r="C203" s="65"/>
      <c r="D203" s="65"/>
      <c r="E203" s="65"/>
      <c r="F203" s="65"/>
      <c r="G203" s="65"/>
      <c r="H203" s="48"/>
      <c r="I203" s="4"/>
      <c r="J203" s="68"/>
    </row>
    <row r="204" spans="1:10" s="17" customFormat="1" ht="28.5" customHeight="1">
      <c r="A204" s="65"/>
      <c r="B204" s="65"/>
      <c r="C204" s="65"/>
      <c r="D204" s="65"/>
      <c r="E204" s="65"/>
      <c r="F204" s="65"/>
      <c r="G204" s="65"/>
      <c r="H204" s="48"/>
      <c r="I204" s="4"/>
      <c r="J204" s="68"/>
    </row>
    <row r="205" spans="1:10" s="17" customFormat="1" ht="28.5" customHeight="1">
      <c r="A205" s="65"/>
      <c r="B205" s="65"/>
      <c r="C205" s="65"/>
      <c r="D205" s="65"/>
      <c r="E205" s="65"/>
      <c r="F205" s="65"/>
      <c r="G205" s="65"/>
      <c r="H205" s="48"/>
      <c r="I205" s="4"/>
      <c r="J205" s="68"/>
    </row>
    <row r="206" spans="1:10" s="2" customFormat="1" ht="28.5" customHeight="1">
      <c r="A206" s="8" t="s">
        <v>6</v>
      </c>
      <c r="I206" s="4"/>
      <c r="J206" s="4"/>
    </row>
    <row r="207" spans="1:10" s="2" customFormat="1" ht="28.5" customHeight="1">
      <c r="A207" s="8" t="s">
        <v>5</v>
      </c>
      <c r="I207" s="4"/>
      <c r="J207" s="4"/>
    </row>
    <row r="208" spans="1:10" s="2" customFormat="1" ht="28.5" customHeight="1">
      <c r="A208" s="8" t="s">
        <v>7</v>
      </c>
      <c r="I208" s="4"/>
      <c r="J208" s="4"/>
    </row>
    <row r="209" spans="1:10" s="2" customFormat="1" ht="28.5" customHeight="1">
      <c r="A209" s="54" t="s">
        <v>99</v>
      </c>
      <c r="I209" s="4"/>
      <c r="J209" s="4"/>
    </row>
    <row r="210" spans="1:10" s="2" customFormat="1" ht="28.5" customHeight="1">
      <c r="A210" s="8" t="s">
        <v>20</v>
      </c>
      <c r="B210" s="6"/>
      <c r="E210" s="40"/>
      <c r="F210" s="40"/>
      <c r="I210" s="5">
        <f>J136+J35</f>
        <v>81200000</v>
      </c>
      <c r="J210" s="5"/>
    </row>
    <row r="211" spans="1:10" s="2" customFormat="1" ht="28.5" customHeight="1">
      <c r="A211" s="20"/>
      <c r="B211" s="35" t="s">
        <v>101</v>
      </c>
      <c r="I211" s="4"/>
      <c r="J211" s="4">
        <v>10000000</v>
      </c>
    </row>
    <row r="212" spans="1:10" s="2" customFormat="1" ht="28.5" customHeight="1">
      <c r="A212" s="20"/>
      <c r="B212" s="6" t="s">
        <v>210</v>
      </c>
      <c r="I212" s="4"/>
      <c r="J212" s="4">
        <f>92*20000*12</f>
        <v>22080000</v>
      </c>
    </row>
    <row r="213" spans="1:10" s="3" customFormat="1" ht="28.5" customHeight="1">
      <c r="A213" s="48"/>
      <c r="E213" s="5" t="s">
        <v>102</v>
      </c>
      <c r="F213" s="5"/>
      <c r="J213" s="5">
        <f>SUM(J211:J212)</f>
        <v>32080000</v>
      </c>
    </row>
    <row r="214" spans="1:10" s="3" customFormat="1" ht="28.5" customHeight="1">
      <c r="A214" s="48"/>
      <c r="E214" s="54" t="s">
        <v>100</v>
      </c>
      <c r="F214" s="54"/>
      <c r="I214" s="59">
        <f>I210-J213</f>
        <v>49120000</v>
      </c>
      <c r="J214" s="5"/>
    </row>
    <row r="215" spans="1:10" s="2" customFormat="1" ht="28.5" customHeight="1">
      <c r="A215" s="20"/>
      <c r="B215" s="6"/>
      <c r="I215" s="4"/>
      <c r="J215" s="4"/>
    </row>
    <row r="216" spans="1:10" s="2" customFormat="1" ht="28.5" customHeight="1">
      <c r="A216" s="54" t="s">
        <v>3</v>
      </c>
      <c r="I216" s="4"/>
      <c r="J216" s="5"/>
    </row>
    <row r="217" spans="1:10" s="2" customFormat="1" ht="28.5" customHeight="1">
      <c r="A217" s="8" t="s">
        <v>21</v>
      </c>
      <c r="B217" s="3"/>
      <c r="C217" s="3"/>
      <c r="D217" s="3"/>
      <c r="E217" s="40"/>
      <c r="F217" s="40"/>
      <c r="I217" s="5">
        <f>J138+J50</f>
        <v>162000000</v>
      </c>
      <c r="J217" s="5"/>
    </row>
    <row r="218" spans="1:10" s="2" customFormat="1" ht="28.5" customHeight="1">
      <c r="A218" s="21" t="s">
        <v>30</v>
      </c>
      <c r="B218" s="2" t="s">
        <v>222</v>
      </c>
      <c r="I218" s="4"/>
      <c r="J218" s="4">
        <f>8738654*12</f>
        <v>104863848</v>
      </c>
    </row>
    <row r="219" spans="1:10" s="2" customFormat="1" ht="28.5" customHeight="1">
      <c r="A219" s="21" t="s">
        <v>211</v>
      </c>
      <c r="B219" s="2" t="s">
        <v>220</v>
      </c>
      <c r="I219" s="4"/>
      <c r="J219" s="4">
        <f>675000*12</f>
        <v>8100000</v>
      </c>
    </row>
    <row r="220" spans="1:10" s="2" customFormat="1" ht="28.5" customHeight="1">
      <c r="A220" s="21" t="s">
        <v>83</v>
      </c>
      <c r="B220" s="2" t="s">
        <v>221</v>
      </c>
      <c r="G220" s="3"/>
      <c r="H220" s="3"/>
      <c r="I220" s="3"/>
      <c r="J220" s="4">
        <f>500000*12</f>
        <v>6000000</v>
      </c>
    </row>
    <row r="221" spans="1:10" s="2" customFormat="1" ht="28.5" customHeight="1">
      <c r="A221" s="21"/>
      <c r="E221" s="5" t="s">
        <v>102</v>
      </c>
      <c r="F221" s="5"/>
      <c r="G221" s="3"/>
      <c r="H221" s="3"/>
      <c r="I221" s="3"/>
      <c r="J221" s="5">
        <f>SUM(J218:J220)</f>
        <v>118963848</v>
      </c>
    </row>
    <row r="222" spans="1:10" s="2" customFormat="1" ht="28.5" customHeight="1">
      <c r="A222" s="21"/>
      <c r="E222" s="54" t="s">
        <v>100</v>
      </c>
      <c r="F222" s="54"/>
      <c r="G222" s="3"/>
      <c r="H222" s="3"/>
      <c r="I222" s="59">
        <f>I217-J221</f>
        <v>43036152</v>
      </c>
      <c r="J222" s="4"/>
    </row>
    <row r="223" spans="1:10" s="2" customFormat="1" ht="16.5" customHeight="1">
      <c r="A223" s="21"/>
      <c r="E223" s="54"/>
      <c r="F223" s="54"/>
      <c r="G223" s="3"/>
      <c r="H223" s="3"/>
      <c r="I223" s="60"/>
      <c r="J223" s="4"/>
    </row>
    <row r="224" spans="1:10" s="2" customFormat="1" ht="28.5" customHeight="1">
      <c r="A224" s="8" t="s">
        <v>42</v>
      </c>
      <c r="E224" s="40"/>
      <c r="F224" s="40"/>
      <c r="I224" s="5">
        <f>J141+J52</f>
        <v>188200000</v>
      </c>
      <c r="J224" s="5"/>
    </row>
    <row r="225" spans="1:10" s="2" customFormat="1" ht="28.5" customHeight="1">
      <c r="A225" s="21" t="s">
        <v>47</v>
      </c>
      <c r="B225" s="2" t="s">
        <v>223</v>
      </c>
      <c r="I225" s="4"/>
      <c r="J225" s="4">
        <f>200000*42*2</f>
        <v>16800000</v>
      </c>
    </row>
    <row r="226" spans="1:10" s="2" customFormat="1" ht="28.5" customHeight="1">
      <c r="A226" s="21" t="s">
        <v>61</v>
      </c>
      <c r="B226" s="2" t="s">
        <v>164</v>
      </c>
      <c r="I226" s="4"/>
      <c r="J226" s="4">
        <f>200000*42*2</f>
        <v>16800000</v>
      </c>
    </row>
    <row r="227" spans="1:10" s="2" customFormat="1" ht="28.5" customHeight="1">
      <c r="A227" s="21" t="s">
        <v>61</v>
      </c>
      <c r="B227" s="2" t="s">
        <v>84</v>
      </c>
      <c r="I227" s="4"/>
      <c r="J227" s="4">
        <v>10000000</v>
      </c>
    </row>
    <row r="228" spans="1:10" s="2" customFormat="1" ht="28.5" customHeight="1">
      <c r="A228" s="21" t="s">
        <v>62</v>
      </c>
      <c r="B228" s="2" t="s">
        <v>224</v>
      </c>
      <c r="I228" s="4"/>
      <c r="J228" s="4">
        <f>60000*87*4</f>
        <v>20880000</v>
      </c>
    </row>
    <row r="229" spans="1:10" s="2" customFormat="1" ht="28.5" customHeight="1">
      <c r="A229" s="21" t="s">
        <v>63</v>
      </c>
      <c r="B229" s="2" t="s">
        <v>85</v>
      </c>
      <c r="I229" s="4"/>
      <c r="J229" s="4">
        <v>32000000</v>
      </c>
    </row>
    <row r="230" spans="1:10" s="2" customFormat="1" ht="18.75" customHeight="1">
      <c r="A230" s="21"/>
      <c r="I230" s="4"/>
      <c r="J230" s="4"/>
    </row>
    <row r="231" spans="1:10" s="2" customFormat="1" ht="28.5" customHeight="1">
      <c r="A231" s="21"/>
      <c r="E231" s="5" t="s">
        <v>102</v>
      </c>
      <c r="F231" s="5"/>
      <c r="G231" s="3"/>
      <c r="H231" s="3"/>
      <c r="I231" s="3"/>
      <c r="J231" s="5">
        <f>SUM(J225:J230)</f>
        <v>96480000</v>
      </c>
    </row>
    <row r="232" spans="1:10" s="2" customFormat="1" ht="28.5" customHeight="1">
      <c r="A232" s="21"/>
      <c r="E232" s="54" t="s">
        <v>100</v>
      </c>
      <c r="F232" s="54"/>
      <c r="G232" s="3"/>
      <c r="H232" s="3"/>
      <c r="I232" s="59">
        <f>I224-J231</f>
        <v>91720000</v>
      </c>
      <c r="J232" s="4"/>
    </row>
    <row r="233" spans="1:10" s="2" customFormat="1" ht="28.5" customHeight="1">
      <c r="A233" s="21"/>
      <c r="E233" s="54"/>
      <c r="F233" s="54"/>
      <c r="G233" s="3"/>
      <c r="H233" s="3"/>
      <c r="I233" s="60"/>
      <c r="J233" s="4"/>
    </row>
    <row r="234" spans="1:10" s="2" customFormat="1" ht="28.5" customHeight="1">
      <c r="A234" s="8" t="s">
        <v>25</v>
      </c>
      <c r="B234" s="3"/>
      <c r="C234" s="3"/>
      <c r="D234" s="3"/>
      <c r="E234" s="40"/>
      <c r="F234" s="40"/>
      <c r="G234" s="3"/>
      <c r="H234" s="3"/>
      <c r="I234" s="5">
        <f>J147+J53</f>
        <v>34400000</v>
      </c>
      <c r="J234" s="5"/>
    </row>
    <row r="235" spans="1:10" s="2" customFormat="1" ht="28.5" customHeight="1">
      <c r="A235" s="21" t="s">
        <v>31</v>
      </c>
      <c r="B235" s="73" t="s">
        <v>215</v>
      </c>
      <c r="C235" s="73"/>
      <c r="D235" s="73"/>
      <c r="E235" s="73"/>
      <c r="F235" s="73"/>
      <c r="G235" s="73"/>
      <c r="H235" s="73"/>
      <c r="I235" s="73"/>
      <c r="J235" s="4">
        <f>950000*12</f>
        <v>11400000</v>
      </c>
    </row>
    <row r="236" spans="1:10" s="2" customFormat="1" ht="28.5" customHeight="1">
      <c r="A236" s="21" t="s">
        <v>32</v>
      </c>
      <c r="B236" s="42" t="s">
        <v>233</v>
      </c>
      <c r="C236" s="42"/>
      <c r="D236" s="42"/>
      <c r="E236" s="42"/>
      <c r="F236" s="42"/>
      <c r="G236" s="42"/>
      <c r="H236" s="42"/>
      <c r="I236" s="42"/>
      <c r="J236" s="4">
        <v>8000000</v>
      </c>
    </row>
    <row r="237" spans="1:10" s="2" customFormat="1" ht="28.5" customHeight="1">
      <c r="A237" s="21" t="s">
        <v>64</v>
      </c>
      <c r="B237" s="73" t="s">
        <v>234</v>
      </c>
      <c r="C237" s="73"/>
      <c r="D237" s="42"/>
      <c r="E237" s="42"/>
      <c r="F237" s="42"/>
      <c r="G237" s="42"/>
      <c r="H237" s="42"/>
      <c r="I237" s="42"/>
      <c r="J237" s="4">
        <f>528000*12</f>
        <v>6336000</v>
      </c>
    </row>
    <row r="238" spans="1:10" s="2" customFormat="1" ht="28.5" customHeight="1">
      <c r="A238" s="21"/>
      <c r="B238" s="42"/>
      <c r="C238" s="42"/>
      <c r="D238" s="42"/>
      <c r="E238" s="5" t="s">
        <v>102</v>
      </c>
      <c r="F238" s="5"/>
      <c r="G238" s="3"/>
      <c r="H238" s="3"/>
      <c r="I238" s="3"/>
      <c r="J238" s="5">
        <f>SUM(J235:J237)</f>
        <v>25736000</v>
      </c>
    </row>
    <row r="239" spans="1:10" s="2" customFormat="1" ht="28.5" customHeight="1">
      <c r="A239" s="21"/>
      <c r="B239" s="42"/>
      <c r="C239" s="42"/>
      <c r="D239" s="42"/>
      <c r="E239" s="54" t="s">
        <v>100</v>
      </c>
      <c r="F239" s="54"/>
      <c r="G239" s="3"/>
      <c r="H239" s="3"/>
      <c r="I239" s="59">
        <f>I234-J238</f>
        <v>8664000</v>
      </c>
      <c r="J239" s="4"/>
    </row>
    <row r="240" spans="1:10" s="2" customFormat="1" ht="28.5" customHeight="1">
      <c r="A240" s="21"/>
      <c r="B240" s="42"/>
      <c r="C240" s="42"/>
      <c r="D240" s="42"/>
      <c r="E240" s="54"/>
      <c r="F240" s="54"/>
      <c r="G240" s="3"/>
      <c r="H240" s="3"/>
      <c r="I240" s="60"/>
      <c r="J240" s="4"/>
    </row>
    <row r="241" spans="1:10" s="2" customFormat="1" ht="28.5" customHeight="1">
      <c r="A241" s="8" t="s">
        <v>22</v>
      </c>
      <c r="B241" s="3"/>
      <c r="C241" s="3"/>
      <c r="D241" s="3"/>
      <c r="E241" s="40"/>
      <c r="F241" s="40"/>
      <c r="G241" s="3"/>
      <c r="H241" s="3"/>
      <c r="I241" s="5">
        <f>J151+J57</f>
        <v>20000000</v>
      </c>
      <c r="J241" s="5"/>
    </row>
    <row r="242" spans="1:10" s="2" customFormat="1" ht="28.5" customHeight="1">
      <c r="A242" s="21" t="s">
        <v>48</v>
      </c>
      <c r="B242" s="73" t="s">
        <v>78</v>
      </c>
      <c r="C242" s="73"/>
      <c r="D242" s="73"/>
      <c r="E242" s="73"/>
      <c r="F242" s="73"/>
      <c r="G242" s="73"/>
      <c r="H242" s="73"/>
      <c r="I242" s="73"/>
      <c r="J242" s="4">
        <f>92*10000*2</f>
        <v>1840000</v>
      </c>
    </row>
    <row r="243" spans="1:10" s="2" customFormat="1" ht="28.5" customHeight="1">
      <c r="A243" s="21"/>
      <c r="B243" s="42"/>
      <c r="C243" s="42"/>
      <c r="D243" s="42"/>
      <c r="E243" s="5" t="s">
        <v>102</v>
      </c>
      <c r="F243" s="5"/>
      <c r="G243" s="3"/>
      <c r="H243" s="3"/>
      <c r="I243" s="3"/>
      <c r="J243" s="5">
        <f>SUM(J242)</f>
        <v>1840000</v>
      </c>
    </row>
    <row r="244" spans="1:10" s="2" customFormat="1" ht="28.5" customHeight="1">
      <c r="A244" s="21"/>
      <c r="B244" s="42"/>
      <c r="C244" s="42"/>
      <c r="D244" s="42"/>
      <c r="E244" s="54" t="s">
        <v>100</v>
      </c>
      <c r="F244" s="54"/>
      <c r="G244" s="3"/>
      <c r="H244" s="3"/>
      <c r="I244" s="59">
        <f>I241-J243</f>
        <v>18160000</v>
      </c>
      <c r="J244" s="4"/>
    </row>
    <row r="245" spans="1:10" s="2" customFormat="1" ht="28.5" customHeight="1">
      <c r="A245" s="21"/>
      <c r="B245" s="42"/>
      <c r="C245" s="42"/>
      <c r="D245" s="42"/>
      <c r="E245" s="54"/>
      <c r="F245" s="54"/>
      <c r="G245" s="3"/>
      <c r="H245" s="3"/>
      <c r="I245" s="60"/>
      <c r="J245" s="4"/>
    </row>
    <row r="246" spans="1:10" s="2" customFormat="1" ht="28.5" customHeight="1">
      <c r="A246" s="8" t="s">
        <v>231</v>
      </c>
      <c r="B246" s="3"/>
      <c r="C246" s="3"/>
      <c r="D246" s="3"/>
      <c r="E246" s="40"/>
      <c r="F246" s="40"/>
      <c r="G246" s="3"/>
      <c r="H246" s="3"/>
      <c r="I246" s="5">
        <f>J153+J59</f>
        <v>38000000</v>
      </c>
      <c r="J246" s="5"/>
    </row>
    <row r="247" spans="1:10" s="2" customFormat="1" ht="28.5" customHeight="1">
      <c r="A247" s="21" t="s">
        <v>138</v>
      </c>
      <c r="B247" s="73" t="s">
        <v>232</v>
      </c>
      <c r="C247" s="73"/>
      <c r="D247" s="73"/>
      <c r="E247" s="73"/>
      <c r="F247" s="73"/>
      <c r="G247" s="73"/>
      <c r="H247" s="73"/>
      <c r="I247" s="73"/>
      <c r="J247" s="4">
        <f>4500000*4</f>
        <v>18000000</v>
      </c>
    </row>
    <row r="248" spans="1:10" s="2" customFormat="1" ht="28.5" customHeight="1">
      <c r="A248" s="21" t="s">
        <v>79</v>
      </c>
      <c r="B248" s="42" t="s">
        <v>218</v>
      </c>
      <c r="C248" s="42"/>
      <c r="D248" s="42"/>
      <c r="E248" s="42"/>
      <c r="F248" s="42"/>
      <c r="G248" s="42"/>
      <c r="H248" s="42"/>
      <c r="I248" s="42"/>
      <c r="J248" s="4">
        <v>10000000</v>
      </c>
    </row>
    <row r="249" spans="1:10" s="2" customFormat="1" ht="28.5" customHeight="1">
      <c r="A249" s="21"/>
      <c r="B249" s="42"/>
      <c r="C249" s="42"/>
      <c r="D249" s="42"/>
      <c r="E249" s="5" t="s">
        <v>102</v>
      </c>
      <c r="F249" s="5"/>
      <c r="G249" s="3"/>
      <c r="H249" s="3"/>
      <c r="I249" s="3"/>
      <c r="J249" s="5">
        <f>SUM(J247:J248)</f>
        <v>28000000</v>
      </c>
    </row>
    <row r="250" spans="1:10" s="2" customFormat="1" ht="28.5" customHeight="1">
      <c r="A250" s="21"/>
      <c r="B250" s="42"/>
      <c r="C250" s="42"/>
      <c r="D250" s="42"/>
      <c r="E250" s="54" t="s">
        <v>100</v>
      </c>
      <c r="F250" s="54"/>
      <c r="G250" s="3"/>
      <c r="H250" s="3"/>
      <c r="I250" s="59">
        <f>I246-J249</f>
        <v>10000000</v>
      </c>
      <c r="J250" s="4"/>
    </row>
    <row r="251" spans="1:10" s="2" customFormat="1" ht="28.5" customHeight="1">
      <c r="A251" s="8" t="s">
        <v>228</v>
      </c>
      <c r="B251" s="3"/>
      <c r="C251" s="3"/>
      <c r="D251" s="3"/>
      <c r="E251" s="40"/>
      <c r="F251" s="40"/>
      <c r="G251" s="3"/>
      <c r="H251" s="3"/>
      <c r="I251" s="5">
        <f>J61+J155</f>
        <v>248050000</v>
      </c>
      <c r="J251" s="5"/>
    </row>
    <row r="252" spans="1:10" s="2" customFormat="1" ht="28.5" customHeight="1">
      <c r="A252" s="21" t="s">
        <v>129</v>
      </c>
      <c r="B252" s="73" t="s">
        <v>229</v>
      </c>
      <c r="C252" s="73"/>
      <c r="D252" s="73"/>
      <c r="E252" s="73"/>
      <c r="F252" s="73"/>
      <c r="G252" s="73"/>
      <c r="H252" s="73"/>
      <c r="I252" s="73"/>
      <c r="J252" s="4">
        <f>15000000</f>
        <v>15000000</v>
      </c>
    </row>
    <row r="253" spans="1:10" s="2" customFormat="1" ht="28.5" customHeight="1">
      <c r="A253" s="21" t="s">
        <v>154</v>
      </c>
      <c r="B253" s="42" t="s">
        <v>230</v>
      </c>
      <c r="C253" s="42"/>
      <c r="D253" s="42"/>
      <c r="E253" s="42"/>
      <c r="F253" s="42"/>
      <c r="G253" s="42"/>
      <c r="H253" s="42"/>
      <c r="I253" s="42"/>
      <c r="J253" s="4">
        <v>185000000</v>
      </c>
    </row>
    <row r="254" spans="1:10" s="2" customFormat="1" ht="28.5" customHeight="1">
      <c r="A254" s="21" t="s">
        <v>33</v>
      </c>
      <c r="B254" s="42" t="s">
        <v>137</v>
      </c>
      <c r="C254" s="42"/>
      <c r="D254" s="42"/>
      <c r="E254" s="42"/>
      <c r="F254" s="42"/>
      <c r="G254" s="42"/>
      <c r="H254" s="42"/>
      <c r="I254" s="42"/>
      <c r="J254" s="4">
        <v>15000000</v>
      </c>
    </row>
    <row r="255" spans="1:10" s="2" customFormat="1" ht="28.5" customHeight="1">
      <c r="A255" s="21"/>
      <c r="B255" s="42"/>
      <c r="C255" s="42"/>
      <c r="D255" s="42"/>
      <c r="E255" s="5" t="s">
        <v>102</v>
      </c>
      <c r="F255" s="5"/>
      <c r="G255" s="3"/>
      <c r="H255" s="3"/>
      <c r="I255" s="3"/>
      <c r="J255" s="5">
        <f>SUM(J252:J254)</f>
        <v>215000000</v>
      </c>
    </row>
    <row r="256" spans="1:10" s="2" customFormat="1" ht="28.5" customHeight="1">
      <c r="A256" s="21"/>
      <c r="B256" s="42"/>
      <c r="C256" s="42"/>
      <c r="D256" s="42"/>
      <c r="E256" s="54" t="s">
        <v>100</v>
      </c>
      <c r="F256" s="54"/>
      <c r="G256" s="3"/>
      <c r="H256" s="3"/>
      <c r="I256" s="59">
        <f>I251-J255</f>
        <v>33050000</v>
      </c>
      <c r="J256" s="4"/>
    </row>
    <row r="257" spans="1:10" s="2" customFormat="1" ht="28.5" customHeight="1">
      <c r="A257" s="8" t="s">
        <v>103</v>
      </c>
      <c r="B257" s="3"/>
      <c r="C257" s="3"/>
      <c r="D257" s="3"/>
      <c r="E257" s="40"/>
      <c r="F257" s="40"/>
      <c r="G257" s="3"/>
      <c r="H257" s="3"/>
      <c r="I257" s="5">
        <f>J158+J75</f>
        <v>1042392000</v>
      </c>
      <c r="J257" s="5"/>
    </row>
    <row r="258" spans="1:10" s="2" customFormat="1" ht="28.5" customHeight="1">
      <c r="A258" s="21" t="s">
        <v>67</v>
      </c>
      <c r="B258" s="2" t="s">
        <v>69</v>
      </c>
      <c r="I258" s="4"/>
      <c r="J258" s="4">
        <f>1000000*42</f>
        <v>42000000</v>
      </c>
    </row>
    <row r="259" spans="1:10" s="2" customFormat="1" ht="28.5" customHeight="1">
      <c r="A259" s="21" t="s">
        <v>51</v>
      </c>
      <c r="B259" s="2" t="s">
        <v>58</v>
      </c>
      <c r="I259" s="4"/>
      <c r="J259" s="4">
        <v>45000000</v>
      </c>
    </row>
    <row r="260" spans="1:10" s="2" customFormat="1" ht="28.5" customHeight="1">
      <c r="A260" s="21" t="s">
        <v>119</v>
      </c>
      <c r="B260" s="2" t="s">
        <v>120</v>
      </c>
      <c r="I260" s="4"/>
      <c r="J260" s="4">
        <f>720000*6</f>
        <v>4320000</v>
      </c>
    </row>
    <row r="261" spans="1:10" s="2" customFormat="1" ht="28.5" customHeight="1">
      <c r="A261" s="21" t="s">
        <v>80</v>
      </c>
      <c r="B261" s="2" t="s">
        <v>96</v>
      </c>
      <c r="I261" s="4"/>
      <c r="J261" s="4">
        <v>55000000</v>
      </c>
    </row>
    <row r="262" spans="1:10" s="2" customFormat="1" ht="28.5" customHeight="1">
      <c r="A262" s="21" t="s">
        <v>73</v>
      </c>
      <c r="B262" s="2" t="s">
        <v>127</v>
      </c>
      <c r="I262" s="4"/>
      <c r="J262" s="4">
        <v>30000000</v>
      </c>
    </row>
    <row r="263" spans="1:10" s="2" customFormat="1" ht="28.5" customHeight="1">
      <c r="A263" s="21"/>
      <c r="B263" s="2" t="s">
        <v>225</v>
      </c>
      <c r="I263" s="4"/>
      <c r="J263" s="4">
        <f>400000*1806</f>
        <v>722400000</v>
      </c>
    </row>
    <row r="264" spans="1:10" s="2" customFormat="1" ht="28.5" customHeight="1">
      <c r="A264" s="8"/>
      <c r="E264" s="5" t="s">
        <v>102</v>
      </c>
      <c r="F264" s="5"/>
      <c r="G264" s="3"/>
      <c r="H264" s="3"/>
      <c r="I264" s="3"/>
      <c r="J264" s="5">
        <f>SUM(J258:J263)</f>
        <v>898720000</v>
      </c>
    </row>
    <row r="265" spans="1:10" s="2" customFormat="1" ht="28.5" customHeight="1">
      <c r="A265" s="8"/>
      <c r="E265" s="54" t="s">
        <v>100</v>
      </c>
      <c r="F265" s="54"/>
      <c r="G265" s="3"/>
      <c r="H265" s="3"/>
      <c r="I265" s="59">
        <f>I257-J264</f>
        <v>143672000</v>
      </c>
      <c r="J265" s="4"/>
    </row>
    <row r="266" spans="1:10" s="2" customFormat="1" ht="28.5" customHeight="1">
      <c r="A266" s="8"/>
      <c r="E266" s="54"/>
      <c r="F266" s="54"/>
      <c r="G266" s="3"/>
      <c r="H266" s="3"/>
      <c r="I266" s="60"/>
      <c r="J266" s="4"/>
    </row>
    <row r="267" spans="1:10" s="2" customFormat="1" ht="28.5" customHeight="1">
      <c r="A267" s="8"/>
      <c r="B267" s="69" t="s">
        <v>168</v>
      </c>
      <c r="C267" s="69"/>
      <c r="D267" s="69"/>
      <c r="E267" s="69"/>
      <c r="F267" s="69"/>
      <c r="G267" s="69"/>
      <c r="H267" s="69"/>
      <c r="I267" s="60">
        <f>I265+I244+I232+I222+I214+I250+I256+I239</f>
        <v>397422152</v>
      </c>
      <c r="J267" s="4"/>
    </row>
    <row r="268" spans="1:10" s="2" customFormat="1" ht="28.5" customHeight="1">
      <c r="A268" s="10"/>
      <c r="I268" s="4"/>
      <c r="J268" s="4"/>
    </row>
    <row r="269" spans="9:10" s="2" customFormat="1" ht="16.5">
      <c r="I269" s="4"/>
      <c r="J269" s="4"/>
    </row>
    <row r="270" spans="9:10" s="2" customFormat="1" ht="16.5">
      <c r="I270" s="4"/>
      <c r="J270" s="4"/>
    </row>
  </sheetData>
  <sheetProtection/>
  <mergeCells count="43">
    <mergeCell ref="B53:I53"/>
    <mergeCell ref="B60:I60"/>
    <mergeCell ref="B63:I63"/>
    <mergeCell ref="B99:I99"/>
    <mergeCell ref="A7:J7"/>
    <mergeCell ref="B85:I85"/>
    <mergeCell ref="A18:J18"/>
    <mergeCell ref="B51:I51"/>
    <mergeCell ref="B252:I252"/>
    <mergeCell ref="B247:I247"/>
    <mergeCell ref="B235:I235"/>
    <mergeCell ref="B237:C237"/>
    <mergeCell ref="B103:I103"/>
    <mergeCell ref="E3:J3"/>
    <mergeCell ref="A5:J5"/>
    <mergeCell ref="B62:I62"/>
    <mergeCell ref="B152:I152"/>
    <mergeCell ref="B100:I100"/>
    <mergeCell ref="A3:B3"/>
    <mergeCell ref="A42:J42"/>
    <mergeCell ref="B64:I64"/>
    <mergeCell ref="B65:I65"/>
    <mergeCell ref="B66:I66"/>
    <mergeCell ref="A185:C185"/>
    <mergeCell ref="A198:G198"/>
    <mergeCell ref="B242:I242"/>
    <mergeCell ref="B126:G126"/>
    <mergeCell ref="B176:G176"/>
    <mergeCell ref="A184:J184"/>
    <mergeCell ref="B146:I146"/>
    <mergeCell ref="B154:I154"/>
    <mergeCell ref="A164:J164"/>
    <mergeCell ref="A132:J132"/>
    <mergeCell ref="B267:H267"/>
    <mergeCell ref="E1:J1"/>
    <mergeCell ref="E2:J2"/>
    <mergeCell ref="A111:J111"/>
    <mergeCell ref="B58:I58"/>
    <mergeCell ref="A133:C133"/>
    <mergeCell ref="B83:I83"/>
    <mergeCell ref="B90:I90"/>
    <mergeCell ref="A6:J6"/>
    <mergeCell ref="B101:I101"/>
  </mergeCells>
  <printOptions horizontalCentered="1"/>
  <pageMargins left="0.2755905511811024" right="0.15748031496062992" top="0.31496062992125984" bottom="0.4330708661417323" header="0.2755905511811024" footer="0.15748031496062992"/>
  <pageSetup horizontalDpi="600" verticalDpi="600" orientation="portrait" paperSize="9" scale="80"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5">
      <selection activeCell="F19" sqref="F19"/>
    </sheetView>
  </sheetViews>
  <sheetFormatPr defaultColWidth="8.796875" defaultRowHeight="15"/>
  <cols>
    <col min="1" max="1" width="10.3984375" style="1" customWidth="1"/>
    <col min="2" max="2" width="15.09765625" style="1" bestFit="1" customWidth="1"/>
    <col min="3" max="3" width="14" style="1" bestFit="1" customWidth="1"/>
    <col min="4" max="4" width="15.09765625" style="1" bestFit="1" customWidth="1"/>
    <col min="5" max="5" width="14" style="1" bestFit="1" customWidth="1"/>
    <col min="6" max="6" width="14.59765625" style="1" customWidth="1"/>
    <col min="7" max="7" width="15.09765625" style="1" bestFit="1" customWidth="1"/>
    <col min="8" max="8" width="14" style="1" bestFit="1" customWidth="1"/>
    <col min="9" max="9" width="13.69921875" style="7" customWidth="1"/>
    <col min="10" max="10" width="13" style="7" bestFit="1" customWidth="1"/>
    <col min="11" max="16384" width="9" style="1" customWidth="1"/>
  </cols>
  <sheetData>
    <row r="1" spans="1:10" s="2" customFormat="1" ht="21.75" customHeight="1">
      <c r="A1" s="86" t="s">
        <v>165</v>
      </c>
      <c r="B1" s="86"/>
      <c r="C1" s="86"/>
      <c r="D1" s="86"/>
      <c r="E1" s="86"/>
      <c r="F1" s="86"/>
      <c r="G1" s="86"/>
      <c r="H1" s="86"/>
      <c r="I1" s="86"/>
      <c r="J1" s="86"/>
    </row>
    <row r="2" spans="1:10" s="2" customFormat="1" ht="21.75" customHeight="1">
      <c r="A2" s="6"/>
      <c r="I2" s="4"/>
      <c r="J2" s="4"/>
    </row>
    <row r="3" spans="1:10" s="13" customFormat="1" ht="21.75" customHeight="1">
      <c r="A3" s="87" t="s">
        <v>8</v>
      </c>
      <c r="B3" s="88" t="s">
        <v>9</v>
      </c>
      <c r="C3" s="88" t="s">
        <v>10</v>
      </c>
      <c r="D3" s="89" t="s">
        <v>72</v>
      </c>
      <c r="E3" s="90"/>
      <c r="F3" s="91"/>
      <c r="G3" s="92" t="s">
        <v>11</v>
      </c>
      <c r="H3" s="93"/>
      <c r="I3" s="93"/>
      <c r="J3" s="94" t="s">
        <v>12</v>
      </c>
    </row>
    <row r="4" spans="1:10" s="14" customFormat="1" ht="33.75" customHeight="1">
      <c r="A4" s="87"/>
      <c r="B4" s="88"/>
      <c r="C4" s="88"/>
      <c r="D4" s="30" t="s">
        <v>52</v>
      </c>
      <c r="E4" s="29" t="s">
        <v>71</v>
      </c>
      <c r="F4" s="43" t="s">
        <v>104</v>
      </c>
      <c r="G4" s="30" t="s">
        <v>52</v>
      </c>
      <c r="H4" s="29" t="s">
        <v>71</v>
      </c>
      <c r="I4" s="61" t="s">
        <v>104</v>
      </c>
      <c r="J4" s="94"/>
    </row>
    <row r="5" spans="1:10" s="11" customFormat="1" ht="21.75" customHeight="1">
      <c r="A5" s="12">
        <v>6000</v>
      </c>
      <c r="B5" s="15"/>
      <c r="C5" s="25"/>
      <c r="D5" s="25">
        <v>5332214327</v>
      </c>
      <c r="E5" s="18">
        <f>437600000</f>
        <v>437600000</v>
      </c>
      <c r="F5" s="18">
        <v>46800000</v>
      </c>
      <c r="G5" s="25">
        <f>'CT'!J21</f>
        <v>5332214327</v>
      </c>
      <c r="H5" s="18">
        <f>'CT'!J134</f>
        <v>437600000</v>
      </c>
      <c r="I5" s="18">
        <f>'CT'!J186</f>
        <v>46800000</v>
      </c>
      <c r="J5" s="15">
        <f>SUM(G5:I5)-SUM(D5:F5)</f>
        <v>0</v>
      </c>
    </row>
    <row r="6" spans="1:10" s="11" customFormat="1" ht="20.25" customHeight="1">
      <c r="A6" s="12">
        <v>6100</v>
      </c>
      <c r="B6" s="15"/>
      <c r="C6" s="25"/>
      <c r="D6" s="25">
        <v>2588113298</v>
      </c>
      <c r="E6" s="18"/>
      <c r="F6" s="18"/>
      <c r="G6" s="25">
        <f>'CT'!J26</f>
        <v>2588113298.1</v>
      </c>
      <c r="H6" s="18"/>
      <c r="I6" s="18"/>
      <c r="J6" s="15">
        <f>SUM(G6:I6)-SUM(D6:F6)</f>
        <v>0.09999990463256836</v>
      </c>
    </row>
    <row r="7" spans="1:10" s="11" customFormat="1" ht="20.25" customHeight="1">
      <c r="A7" s="12">
        <v>6250</v>
      </c>
      <c r="B7" s="15"/>
      <c r="C7" s="25"/>
      <c r="D7" s="25">
        <v>26000000</v>
      </c>
      <c r="E7" s="18">
        <v>55200000</v>
      </c>
      <c r="F7" s="18"/>
      <c r="G7" s="25">
        <v>10000000</v>
      </c>
      <c r="H7" s="18">
        <v>22080000</v>
      </c>
      <c r="I7" s="18"/>
      <c r="J7" s="15">
        <f aca="true" t="shared" si="0" ref="J7:J18">SUM(D7:F7)-SUM(G7:I7)</f>
        <v>49120000</v>
      </c>
    </row>
    <row r="8" spans="1:10" s="11" customFormat="1" ht="21.75" customHeight="1">
      <c r="A8" s="12">
        <v>6300</v>
      </c>
      <c r="B8" s="15"/>
      <c r="C8" s="25"/>
      <c r="D8" s="25">
        <v>1513970590</v>
      </c>
      <c r="E8" s="18"/>
      <c r="F8" s="18"/>
      <c r="G8" s="25">
        <f>'CT'!J37</f>
        <v>1513970590</v>
      </c>
      <c r="H8" s="18"/>
      <c r="I8" s="18"/>
      <c r="J8" s="15">
        <f t="shared" si="0"/>
        <v>0</v>
      </c>
    </row>
    <row r="9" spans="1:10" s="11" customFormat="1" ht="21.75" customHeight="1">
      <c r="A9" s="12">
        <v>6500</v>
      </c>
      <c r="B9" s="15"/>
      <c r="C9" s="25"/>
      <c r="D9" s="18">
        <v>144000000</v>
      </c>
      <c r="E9" s="18">
        <v>18000000</v>
      </c>
      <c r="F9" s="18"/>
      <c r="G9" s="25">
        <v>104863848</v>
      </c>
      <c r="H9" s="25">
        <f>8100000+6000000</f>
        <v>14100000</v>
      </c>
      <c r="I9" s="18"/>
      <c r="J9" s="15">
        <f t="shared" si="0"/>
        <v>43036152</v>
      </c>
    </row>
    <row r="10" spans="1:10" s="11" customFormat="1" ht="21.75" customHeight="1">
      <c r="A10" s="12">
        <v>6550</v>
      </c>
      <c r="B10" s="15"/>
      <c r="C10" s="25"/>
      <c r="D10" s="18"/>
      <c r="E10" s="18">
        <v>188200000</v>
      </c>
      <c r="F10" s="18"/>
      <c r="G10" s="25"/>
      <c r="H10" s="18">
        <v>96480000</v>
      </c>
      <c r="I10" s="18"/>
      <c r="J10" s="15">
        <f t="shared" si="0"/>
        <v>91720000</v>
      </c>
    </row>
    <row r="11" spans="1:10" s="11" customFormat="1" ht="21.75" customHeight="1">
      <c r="A11" s="12">
        <v>6600</v>
      </c>
      <c r="B11" s="15"/>
      <c r="C11" s="25"/>
      <c r="D11" s="25"/>
      <c r="E11" s="18">
        <v>34400000</v>
      </c>
      <c r="F11" s="18"/>
      <c r="G11" s="25"/>
      <c r="H11" s="18">
        <v>25736000</v>
      </c>
      <c r="I11" s="18"/>
      <c r="J11" s="15">
        <f t="shared" si="0"/>
        <v>8664000</v>
      </c>
    </row>
    <row r="12" spans="1:10" s="11" customFormat="1" ht="21.75" customHeight="1">
      <c r="A12" s="12">
        <v>6650</v>
      </c>
      <c r="B12" s="15"/>
      <c r="C12" s="25"/>
      <c r="D12" s="18"/>
      <c r="E12" s="18">
        <v>20000000</v>
      </c>
      <c r="F12" s="18"/>
      <c r="G12" s="25"/>
      <c r="H12" s="18">
        <v>1840000</v>
      </c>
      <c r="I12" s="18"/>
      <c r="J12" s="15">
        <f t="shared" si="0"/>
        <v>18160000</v>
      </c>
    </row>
    <row r="13" spans="1:10" s="11" customFormat="1" ht="21.75" customHeight="1">
      <c r="A13" s="12">
        <v>6700</v>
      </c>
      <c r="B13" s="15"/>
      <c r="C13" s="25"/>
      <c r="D13" s="25">
        <v>18000000</v>
      </c>
      <c r="E13" s="18">
        <v>20000000</v>
      </c>
      <c r="F13" s="18"/>
      <c r="G13" s="25">
        <f>'CT'!J59</f>
        <v>18000000</v>
      </c>
      <c r="H13" s="18">
        <v>10000000</v>
      </c>
      <c r="I13" s="18"/>
      <c r="J13" s="15">
        <f t="shared" si="0"/>
        <v>10000000</v>
      </c>
    </row>
    <row r="14" spans="1:10" s="11" customFormat="1" ht="21.75" customHeight="1">
      <c r="A14" s="12">
        <v>6750</v>
      </c>
      <c r="B14" s="15"/>
      <c r="C14" s="25"/>
      <c r="D14" s="15">
        <v>205000000</v>
      </c>
      <c r="E14" s="18">
        <v>43050000</v>
      </c>
      <c r="F14" s="18"/>
      <c r="G14" s="15">
        <f>185000000+15000000</f>
        <v>200000000</v>
      </c>
      <c r="H14" s="18">
        <f>15000000</f>
        <v>15000000</v>
      </c>
      <c r="I14" s="18"/>
      <c r="J14" s="15">
        <f t="shared" si="0"/>
        <v>33050000</v>
      </c>
    </row>
    <row r="15" spans="1:10" s="11" customFormat="1" ht="21.75" customHeight="1">
      <c r="A15" s="12">
        <v>6900</v>
      </c>
      <c r="B15" s="15"/>
      <c r="C15" s="25"/>
      <c r="D15" s="25">
        <v>65000000</v>
      </c>
      <c r="E15" s="18"/>
      <c r="F15" s="18"/>
      <c r="G15" s="25">
        <v>65000000</v>
      </c>
      <c r="H15" s="18"/>
      <c r="I15" s="18"/>
      <c r="J15" s="15">
        <f t="shared" si="0"/>
        <v>0</v>
      </c>
    </row>
    <row r="16" spans="1:10" s="11" customFormat="1" ht="21.75" customHeight="1">
      <c r="A16" s="12">
        <v>7000</v>
      </c>
      <c r="B16" s="15"/>
      <c r="C16" s="25"/>
      <c r="D16" s="18">
        <v>819542000</v>
      </c>
      <c r="E16" s="18">
        <v>222850000</v>
      </c>
      <c r="F16" s="18">
        <v>46800000</v>
      </c>
      <c r="G16" s="25">
        <v>722400000</v>
      </c>
      <c r="H16" s="18">
        <v>176320000</v>
      </c>
      <c r="I16" s="18">
        <v>46800000</v>
      </c>
      <c r="J16" s="15">
        <f t="shared" si="0"/>
        <v>143672000</v>
      </c>
    </row>
    <row r="17" spans="1:10" s="2" customFormat="1" ht="21.75" customHeight="1">
      <c r="A17" s="12">
        <v>7750</v>
      </c>
      <c r="B17" s="15"/>
      <c r="C17" s="25"/>
      <c r="D17" s="25">
        <v>12000000</v>
      </c>
      <c r="E17" s="18">
        <v>54700000</v>
      </c>
      <c r="F17" s="18">
        <v>23400000</v>
      </c>
      <c r="G17" s="25">
        <f>'CT'!J105</f>
        <v>12000000</v>
      </c>
      <c r="H17" s="18">
        <f>'CT'!J162</f>
        <v>54700000</v>
      </c>
      <c r="I17" s="18">
        <v>23400000</v>
      </c>
      <c r="J17" s="15">
        <f t="shared" si="0"/>
        <v>0</v>
      </c>
    </row>
    <row r="18" spans="1:10" s="2" customFormat="1" ht="21.75" customHeight="1">
      <c r="A18" s="12" t="s">
        <v>105</v>
      </c>
      <c r="B18" s="15"/>
      <c r="C18" s="25">
        <f>D18</f>
        <v>293159785</v>
      </c>
      <c r="D18" s="25">
        <f>'CT'!J125</f>
        <v>293159785</v>
      </c>
      <c r="E18" s="18"/>
      <c r="F18" s="18"/>
      <c r="G18" s="25">
        <f>'CT'!J124</f>
        <v>293159785</v>
      </c>
      <c r="H18" s="18"/>
      <c r="I18" s="18"/>
      <c r="J18" s="15">
        <f t="shared" si="0"/>
        <v>0</v>
      </c>
    </row>
    <row r="19" spans="1:10" s="40" customFormat="1" ht="16.5">
      <c r="A19" s="38" t="s">
        <v>13</v>
      </c>
      <c r="B19" s="39">
        <f>SUM(G19:I19)</f>
        <v>11830577848.1</v>
      </c>
      <c r="C19" s="39">
        <f>SUM(C5:C18)</f>
        <v>293159785</v>
      </c>
      <c r="D19" s="39">
        <f>SUM(D5:D18)</f>
        <v>11017000000</v>
      </c>
      <c r="E19" s="39">
        <f aca="true" t="shared" si="1" ref="E19:J19">SUM(E5:E18)</f>
        <v>1094000000</v>
      </c>
      <c r="F19" s="39">
        <f t="shared" si="1"/>
        <v>117000000</v>
      </c>
      <c r="G19" s="39">
        <f t="shared" si="1"/>
        <v>10859721848.1</v>
      </c>
      <c r="H19" s="39">
        <f t="shared" si="1"/>
        <v>853856000</v>
      </c>
      <c r="I19" s="39">
        <f t="shared" si="1"/>
        <v>117000000</v>
      </c>
      <c r="J19" s="39">
        <f t="shared" si="1"/>
        <v>397422152.0999999</v>
      </c>
    </row>
    <row r="20" spans="9:10" s="2" customFormat="1" ht="16.5">
      <c r="I20" s="4"/>
      <c r="J20" s="50">
        <f>J19*10%</f>
        <v>39742215.20999999</v>
      </c>
    </row>
    <row r="21" spans="9:10" s="2" customFormat="1" ht="16.5">
      <c r="I21" s="4"/>
      <c r="J21" s="4"/>
    </row>
  </sheetData>
  <sheetProtection/>
  <mergeCells count="7">
    <mergeCell ref="A1:J1"/>
    <mergeCell ref="A3:A4"/>
    <mergeCell ref="B3:B4"/>
    <mergeCell ref="C3:C4"/>
    <mergeCell ref="D3:F3"/>
    <mergeCell ref="G3:I3"/>
    <mergeCell ref="J3:J4"/>
  </mergeCells>
  <printOptions horizontalCentered="1"/>
  <pageMargins left="0.2755905511811024" right="0.15748031496062992" top="0.31496062992125984" bottom="0.4330708661417323" header="0.2755905511811024" footer="0.15748031496062992"/>
  <pageSetup horizontalDpi="600" verticalDpi="600" orientation="portrait" paperSize="9" scale="6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hoalu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admin</cp:lastModifiedBy>
  <cp:lastPrinted>2020-05-04T08:12:15Z</cp:lastPrinted>
  <dcterms:created xsi:type="dcterms:W3CDTF">2008-08-27T15:51:24Z</dcterms:created>
  <dcterms:modified xsi:type="dcterms:W3CDTF">2020-11-09T07:08:39Z</dcterms:modified>
  <cp:category/>
  <cp:version/>
  <cp:contentType/>
  <cp:contentStatus/>
</cp:coreProperties>
</file>